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amaradirecta-my.sharepoint.com/personal/director_cpe_camaradirecta_com/Documents/Documentos/CAMILO 2025/CASA TONA/CASA TONA/CONVENIO/INVITACION A COTIZAR/"/>
    </mc:Choice>
  </mc:AlternateContent>
  <xr:revisionPtr revIDLastSave="0" documentId="8_{3F86E1C0-EE6E-43E3-A6B8-91E5D416D90A}" xr6:coauthVersionLast="47" xr6:coauthVersionMax="47" xr10:uidLastSave="{00000000-0000-0000-0000-000000000000}"/>
  <bookViews>
    <workbookView xWindow="-110" yWindow="-110" windowWidth="19420" windowHeight="10420" tabRatio="855" firstSheet="4" activeTab="4" xr2:uid="{00000000-000D-0000-FFFF-FFFF00000000}"/>
  </bookViews>
  <sheets>
    <sheet name="RESUMEN_EJECUTIVO" sheetId="1" state="hidden" r:id="rId1"/>
    <sheet name="PRESUPUESTO_GENERAL" sheetId="2" state="hidden" r:id="rId2"/>
    <sheet name="RESUMEN_COMPONENTES" sheetId="3" state="hidden" r:id="rId3"/>
    <sheet name="LISTA_MATERIALES_CAMCOM" sheetId="4" state="hidden" r:id="rId4"/>
    <sheet name="LISTA_MATERIALES_CAMCOM (2)" sheetId="14" r:id="rId5"/>
    <sheet name="LISTA_LOGISTICA_ALCALDIA" sheetId="5" state="hidden" r:id="rId6"/>
    <sheet name="APUs" sheetId="7" state="hidden" r:id="rId7"/>
    <sheet name="CANT PRELIM" sheetId="8" state="hidden" r:id="rId8"/>
    <sheet name="CANT CONCR" sheetId="9" state="hidden" r:id="rId9"/>
    <sheet name="CANT ACEROS" sheetId="10" state="hidden" r:id="rId10"/>
    <sheet name="CANT ESTR MET" sheetId="11" state="hidden" r:id="rId11"/>
    <sheet name="CANT PERNOS" sheetId="12" state="hidden" r:id="rId12"/>
    <sheet name="CANT MAD" sheetId="13" state="hidden" r:id="rId13"/>
  </sheets>
  <externalReferences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14" l="1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6" i="14"/>
  <c r="F37" i="14"/>
  <c r="F38" i="14"/>
  <c r="F39" i="14"/>
  <c r="F41" i="14"/>
  <c r="F43" i="14"/>
  <c r="F44" i="14"/>
  <c r="F45" i="14"/>
  <c r="F47" i="14"/>
  <c r="F48" i="14"/>
  <c r="F49" i="14"/>
  <c r="F50" i="14"/>
  <c r="F51" i="14"/>
  <c r="F52" i="14"/>
  <c r="F53" i="14"/>
  <c r="F54" i="14"/>
  <c r="F55" i="14"/>
  <c r="F56" i="14"/>
  <c r="F58" i="14"/>
  <c r="F59" i="14"/>
  <c r="F60" i="14"/>
  <c r="F61" i="14"/>
  <c r="F62" i="14"/>
  <c r="F64" i="14"/>
  <c r="F65" i="14"/>
  <c r="F66" i="14"/>
  <c r="F67" i="14"/>
  <c r="F68" i="14"/>
  <c r="F70" i="14"/>
  <c r="F71" i="14"/>
  <c r="F72" i="14"/>
  <c r="F74" i="14"/>
  <c r="F75" i="14"/>
  <c r="F76" i="14"/>
  <c r="F77" i="14"/>
  <c r="F78" i="14"/>
  <c r="F79" i="14"/>
  <c r="F5" i="14"/>
  <c r="G26" i="12"/>
  <c r="F26" i="12"/>
  <c r="G25" i="12"/>
  <c r="F25" i="12"/>
  <c r="G23" i="12"/>
  <c r="G24" i="12"/>
  <c r="G22" i="12"/>
  <c r="G21" i="12"/>
  <c r="F24" i="12"/>
  <c r="F23" i="12"/>
  <c r="F22" i="12"/>
  <c r="F21" i="12"/>
  <c r="D35" i="2"/>
  <c r="E10" i="4"/>
  <c r="N40" i="11"/>
  <c r="D49" i="4"/>
  <c r="F49" i="4" s="1"/>
  <c r="D48" i="4"/>
  <c r="F48" i="4" s="1"/>
  <c r="D47" i="4"/>
  <c r="F47" i="4" s="1"/>
  <c r="D43" i="4"/>
  <c r="F43" i="4" s="1"/>
  <c r="E38" i="4"/>
  <c r="F38" i="4" s="1"/>
  <c r="D35" i="4"/>
  <c r="F54" i="4"/>
  <c r="F55" i="4"/>
  <c r="F56" i="4"/>
  <c r="F57" i="4"/>
  <c r="F53" i="4"/>
  <c r="F50" i="4"/>
  <c r="F51" i="4"/>
  <c r="F42" i="4"/>
  <c r="F44" i="4"/>
  <c r="F36" i="4"/>
  <c r="F37" i="4"/>
  <c r="F39" i="4"/>
  <c r="F35" i="4"/>
  <c r="F33" i="4"/>
  <c r="F27" i="4"/>
  <c r="F28" i="4"/>
  <c r="F22" i="4"/>
  <c r="F16" i="4"/>
  <c r="F17" i="4"/>
  <c r="F18" i="4"/>
  <c r="F19" i="4"/>
  <c r="F20" i="4"/>
  <c r="F15" i="4"/>
  <c r="F12" i="4"/>
  <c r="F13" i="4"/>
  <c r="I23" i="2"/>
  <c r="E8" i="3"/>
  <c r="C7" i="3"/>
  <c r="B7" i="3"/>
  <c r="F49" i="2"/>
  <c r="C8" i="3" s="1"/>
  <c r="G49" i="2"/>
  <c r="D8" i="3" s="1"/>
  <c r="H49" i="2"/>
  <c r="E49" i="2"/>
  <c r="B8" i="3" s="1"/>
  <c r="F42" i="2"/>
  <c r="G42" i="2"/>
  <c r="D7" i="3" s="1"/>
  <c r="H42" i="2"/>
  <c r="E7" i="3" s="1"/>
  <c r="E42" i="2"/>
  <c r="F11" i="2"/>
  <c r="C3" i="3" s="1"/>
  <c r="G11" i="2"/>
  <c r="D3" i="3" s="1"/>
  <c r="H11" i="2"/>
  <c r="E3" i="3" s="1"/>
  <c r="E11" i="2"/>
  <c r="B3" i="3" s="1"/>
  <c r="I45" i="2"/>
  <c r="J45" i="2" s="1"/>
  <c r="I46" i="2"/>
  <c r="J46" i="2" s="1"/>
  <c r="I47" i="2"/>
  <c r="J47" i="2" s="1"/>
  <c r="I48" i="2"/>
  <c r="J48" i="2" s="1"/>
  <c r="I44" i="2"/>
  <c r="J44" i="2" s="1"/>
  <c r="I40" i="2"/>
  <c r="J40" i="2" s="1"/>
  <c r="I41" i="2"/>
  <c r="J41" i="2" s="1"/>
  <c r="I39" i="2"/>
  <c r="J39" i="2" s="1"/>
  <c r="J42" i="2" s="1"/>
  <c r="D18" i="1" s="1"/>
  <c r="J35" i="2"/>
  <c r="I34" i="2"/>
  <c r="I35" i="2"/>
  <c r="I36" i="2"/>
  <c r="J36" i="2" s="1"/>
  <c r="I33" i="2"/>
  <c r="I24" i="2"/>
  <c r="I25" i="2"/>
  <c r="J25" i="2" s="1"/>
  <c r="I26" i="2"/>
  <c r="J26" i="2" s="1"/>
  <c r="I27" i="2"/>
  <c r="J27" i="2" s="1"/>
  <c r="I28" i="2"/>
  <c r="I29" i="2"/>
  <c r="I30" i="2"/>
  <c r="J30" i="2" s="1"/>
  <c r="J28" i="2"/>
  <c r="I14" i="2"/>
  <c r="I15" i="2"/>
  <c r="I16" i="2"/>
  <c r="I17" i="2"/>
  <c r="I18" i="2"/>
  <c r="I19" i="2"/>
  <c r="J19" i="2" s="1"/>
  <c r="I20" i="2"/>
  <c r="J20" i="2" s="1"/>
  <c r="I13" i="2"/>
  <c r="J9" i="2"/>
  <c r="I6" i="2"/>
  <c r="J6" i="2" s="1"/>
  <c r="I7" i="2"/>
  <c r="J7" i="2" s="1"/>
  <c r="I8" i="2"/>
  <c r="J8" i="2" s="1"/>
  <c r="I9" i="2"/>
  <c r="I10" i="2"/>
  <c r="J10" i="2" s="1"/>
  <c r="I5" i="2"/>
  <c r="J5" i="2" s="1"/>
  <c r="G14" i="13"/>
  <c r="H14" i="13" s="1"/>
  <c r="K14" i="13" s="1"/>
  <c r="L14" i="13" s="1"/>
  <c r="G13" i="13"/>
  <c r="H13" i="13" s="1"/>
  <c r="K13" i="13" s="1"/>
  <c r="L13" i="13" s="1"/>
  <c r="G12" i="13"/>
  <c r="H12" i="13" s="1"/>
  <c r="K12" i="13" s="1"/>
  <c r="H7" i="13"/>
  <c r="K7" i="13" s="1"/>
  <c r="L7" i="13" s="1"/>
  <c r="G7" i="13"/>
  <c r="F7" i="13"/>
  <c r="G6" i="13"/>
  <c r="F6" i="13"/>
  <c r="H6" i="13" s="1"/>
  <c r="H5" i="13"/>
  <c r="K5" i="13" s="1"/>
  <c r="G5" i="13"/>
  <c r="F5" i="13"/>
  <c r="G15" i="12"/>
  <c r="G14" i="12"/>
  <c r="G13" i="12"/>
  <c r="G12" i="12"/>
  <c r="G11" i="12"/>
  <c r="G10" i="12"/>
  <c r="G9" i="12"/>
  <c r="G8" i="12"/>
  <c r="G7" i="12"/>
  <c r="G6" i="12"/>
  <c r="G5" i="12"/>
  <c r="G16" i="12" s="1"/>
  <c r="G18" i="12" s="1"/>
  <c r="J58" i="11"/>
  <c r="G58" i="11"/>
  <c r="H58" i="11" s="1"/>
  <c r="L58" i="11" s="1"/>
  <c r="J57" i="11"/>
  <c r="G57" i="11"/>
  <c r="H57" i="11" s="1"/>
  <c r="J56" i="11"/>
  <c r="G56" i="11"/>
  <c r="H56" i="11" s="1"/>
  <c r="J55" i="11"/>
  <c r="G55" i="11"/>
  <c r="H55" i="11" s="1"/>
  <c r="J54" i="11"/>
  <c r="H54" i="11"/>
  <c r="L54" i="11" s="1"/>
  <c r="G54" i="11"/>
  <c r="J53" i="11"/>
  <c r="G53" i="11"/>
  <c r="H53" i="11" s="1"/>
  <c r="L53" i="11" s="1"/>
  <c r="J52" i="11"/>
  <c r="H52" i="11"/>
  <c r="G52" i="11"/>
  <c r="J51" i="11"/>
  <c r="G51" i="11"/>
  <c r="H51" i="11" s="1"/>
  <c r="L51" i="11" s="1"/>
  <c r="J50" i="11"/>
  <c r="G50" i="11"/>
  <c r="H50" i="11" s="1"/>
  <c r="L50" i="11" s="1"/>
  <c r="J49" i="11"/>
  <c r="G49" i="11"/>
  <c r="H49" i="11" s="1"/>
  <c r="J48" i="11"/>
  <c r="G48" i="11"/>
  <c r="H48" i="11" s="1"/>
  <c r="L48" i="11" s="1"/>
  <c r="K43" i="11"/>
  <c r="F43" i="11"/>
  <c r="H43" i="11" s="1"/>
  <c r="I43" i="11" s="1"/>
  <c r="K42" i="11"/>
  <c r="I42" i="11"/>
  <c r="H42" i="11"/>
  <c r="F42" i="11"/>
  <c r="E42" i="11"/>
  <c r="K41" i="11"/>
  <c r="I41" i="11"/>
  <c r="F41" i="11"/>
  <c r="E41" i="11"/>
  <c r="E43" i="11" s="1"/>
  <c r="K40" i="11"/>
  <c r="F40" i="11"/>
  <c r="H40" i="11" s="1"/>
  <c r="I40" i="11" s="1"/>
  <c r="F35" i="11"/>
  <c r="H35" i="11" s="1"/>
  <c r="I35" i="11" s="1"/>
  <c r="E35" i="11"/>
  <c r="K34" i="11"/>
  <c r="K35" i="11" s="1"/>
  <c r="H34" i="11"/>
  <c r="F34" i="11"/>
  <c r="G34" i="11" s="1"/>
  <c r="E34" i="11"/>
  <c r="F30" i="11"/>
  <c r="K29" i="11"/>
  <c r="H29" i="11"/>
  <c r="G29" i="11"/>
  <c r="J29" i="11" s="1"/>
  <c r="F29" i="11"/>
  <c r="K24" i="11"/>
  <c r="D24" i="11"/>
  <c r="F24" i="11" s="1"/>
  <c r="G24" i="11" s="1"/>
  <c r="J24" i="11" s="1"/>
  <c r="K23" i="11"/>
  <c r="F23" i="11"/>
  <c r="G23" i="11" s="1"/>
  <c r="J23" i="11" s="1"/>
  <c r="L23" i="11" s="1"/>
  <c r="K22" i="11"/>
  <c r="G22" i="11"/>
  <c r="J22" i="11" s="1"/>
  <c r="F22" i="11"/>
  <c r="K21" i="11"/>
  <c r="F21" i="11"/>
  <c r="H21" i="11" s="1"/>
  <c r="K20" i="11"/>
  <c r="F20" i="11"/>
  <c r="H20" i="11" s="1"/>
  <c r="K19" i="11"/>
  <c r="F19" i="11"/>
  <c r="G15" i="11"/>
  <c r="F15" i="11"/>
  <c r="K14" i="11"/>
  <c r="I14" i="11"/>
  <c r="H14" i="11"/>
  <c r="G14" i="11"/>
  <c r="K13" i="11"/>
  <c r="H13" i="11"/>
  <c r="G13" i="11"/>
  <c r="J13" i="11" s="1"/>
  <c r="K8" i="11"/>
  <c r="F8" i="11"/>
  <c r="H8" i="11" s="1"/>
  <c r="K7" i="11"/>
  <c r="H7" i="11"/>
  <c r="F7" i="11"/>
  <c r="G7" i="11" s="1"/>
  <c r="J7" i="11" s="1"/>
  <c r="L7" i="11" s="1"/>
  <c r="K6" i="11"/>
  <c r="F6" i="11"/>
  <c r="G6" i="11" s="1"/>
  <c r="J6" i="11" s="1"/>
  <c r="K5" i="11"/>
  <c r="F5" i="11"/>
  <c r="G5" i="11" s="1"/>
  <c r="I42" i="10"/>
  <c r="G42" i="10"/>
  <c r="K42" i="10" s="1"/>
  <c r="K41" i="10"/>
  <c r="I41" i="10"/>
  <c r="H41" i="10"/>
  <c r="G41" i="10"/>
  <c r="I40" i="10"/>
  <c r="G40" i="10"/>
  <c r="K40" i="10" s="1"/>
  <c r="K39" i="10"/>
  <c r="I39" i="10"/>
  <c r="H39" i="10"/>
  <c r="J39" i="10" s="1"/>
  <c r="G39" i="10"/>
  <c r="I38" i="10"/>
  <c r="G38" i="10"/>
  <c r="H38" i="10" s="1"/>
  <c r="J38" i="10" s="1"/>
  <c r="I37" i="10"/>
  <c r="G37" i="10"/>
  <c r="K37" i="10" s="1"/>
  <c r="I32" i="10"/>
  <c r="G32" i="10"/>
  <c r="K32" i="10" s="1"/>
  <c r="K31" i="10"/>
  <c r="I31" i="10"/>
  <c r="G31" i="10"/>
  <c r="H31" i="10" s="1"/>
  <c r="J31" i="10" s="1"/>
  <c r="I30" i="10"/>
  <c r="G30" i="10"/>
  <c r="H30" i="10" s="1"/>
  <c r="I29" i="10"/>
  <c r="G29" i="10"/>
  <c r="K29" i="10" s="1"/>
  <c r="K28" i="10"/>
  <c r="I28" i="10"/>
  <c r="G28" i="10"/>
  <c r="H28" i="10" s="1"/>
  <c r="I27" i="10"/>
  <c r="H27" i="10"/>
  <c r="G27" i="10"/>
  <c r="K27" i="10" s="1"/>
  <c r="I22" i="10"/>
  <c r="G22" i="10"/>
  <c r="H22" i="10" s="1"/>
  <c r="J22" i="10" s="1"/>
  <c r="I21" i="10"/>
  <c r="G21" i="10"/>
  <c r="K21" i="10" s="1"/>
  <c r="K20" i="10"/>
  <c r="I20" i="10"/>
  <c r="H20" i="10"/>
  <c r="J20" i="10" s="1"/>
  <c r="G20" i="10"/>
  <c r="K19" i="10"/>
  <c r="I19" i="10"/>
  <c r="H19" i="10"/>
  <c r="G19" i="10"/>
  <c r="I18" i="10"/>
  <c r="G18" i="10"/>
  <c r="H18" i="10" s="1"/>
  <c r="J18" i="10" s="1"/>
  <c r="I17" i="10"/>
  <c r="G17" i="10"/>
  <c r="H17" i="10" s="1"/>
  <c r="I16" i="10"/>
  <c r="G16" i="10"/>
  <c r="K16" i="10" s="1"/>
  <c r="I15" i="10"/>
  <c r="G15" i="10"/>
  <c r="K15" i="10" s="1"/>
  <c r="I14" i="10"/>
  <c r="G14" i="10"/>
  <c r="H14" i="10" s="1"/>
  <c r="J14" i="10" s="1"/>
  <c r="I13" i="10"/>
  <c r="G13" i="10"/>
  <c r="K13" i="10" s="1"/>
  <c r="I12" i="10"/>
  <c r="G12" i="10"/>
  <c r="H12" i="10" s="1"/>
  <c r="J12" i="10" s="1"/>
  <c r="I11" i="10"/>
  <c r="H11" i="10"/>
  <c r="G11" i="10"/>
  <c r="C43" i="9"/>
  <c r="H42" i="9"/>
  <c r="C42" i="9"/>
  <c r="H41" i="9"/>
  <c r="C41" i="9"/>
  <c r="H40" i="9"/>
  <c r="C40" i="9"/>
  <c r="I34" i="9"/>
  <c r="G34" i="9"/>
  <c r="H34" i="9" s="1"/>
  <c r="G33" i="9"/>
  <c r="H33" i="9" s="1"/>
  <c r="K27" i="9"/>
  <c r="L27" i="9" s="1"/>
  <c r="G27" i="9"/>
  <c r="H27" i="9" s="1"/>
  <c r="J27" i="9" s="1"/>
  <c r="K26" i="9"/>
  <c r="L26" i="9" s="1"/>
  <c r="G26" i="9"/>
  <c r="H26" i="9" s="1"/>
  <c r="J26" i="9" s="1"/>
  <c r="K25" i="9"/>
  <c r="L25" i="9" s="1"/>
  <c r="G25" i="9"/>
  <c r="H25" i="9" s="1"/>
  <c r="J25" i="9" s="1"/>
  <c r="K24" i="9"/>
  <c r="L24" i="9" s="1"/>
  <c r="G24" i="9"/>
  <c r="H24" i="9" s="1"/>
  <c r="J24" i="9" s="1"/>
  <c r="L23" i="9"/>
  <c r="K23" i="9"/>
  <c r="H23" i="9"/>
  <c r="J23" i="9" s="1"/>
  <c r="G23" i="9"/>
  <c r="K22" i="9"/>
  <c r="L22" i="9" s="1"/>
  <c r="G22" i="9"/>
  <c r="H22" i="9" s="1"/>
  <c r="D17" i="9"/>
  <c r="C17" i="9"/>
  <c r="G17" i="9" s="1"/>
  <c r="H17" i="9" s="1"/>
  <c r="J17" i="9" s="1"/>
  <c r="D16" i="9"/>
  <c r="G16" i="9" s="1"/>
  <c r="H16" i="9" s="1"/>
  <c r="J16" i="9" s="1"/>
  <c r="C16" i="9"/>
  <c r="D15" i="9"/>
  <c r="C15" i="9"/>
  <c r="D14" i="9"/>
  <c r="C14" i="9"/>
  <c r="G14" i="9" s="1"/>
  <c r="H14" i="9" s="1"/>
  <c r="J14" i="9" s="1"/>
  <c r="D13" i="9"/>
  <c r="C13" i="9"/>
  <c r="G13" i="9" s="1"/>
  <c r="H13" i="9" s="1"/>
  <c r="J13" i="9" s="1"/>
  <c r="D12" i="9"/>
  <c r="C12" i="9"/>
  <c r="H36" i="8"/>
  <c r="H35" i="8"/>
  <c r="H34" i="8"/>
  <c r="F24" i="8"/>
  <c r="G24" i="8" s="1"/>
  <c r="F23" i="8"/>
  <c r="G23" i="8" s="1"/>
  <c r="F22" i="8"/>
  <c r="G22" i="8" s="1"/>
  <c r="F21" i="8"/>
  <c r="G21" i="8" s="1"/>
  <c r="F20" i="8"/>
  <c r="G20" i="8" s="1"/>
  <c r="F19" i="8"/>
  <c r="G19" i="8" s="1"/>
  <c r="G10" i="8"/>
  <c r="H10" i="8" s="1"/>
  <c r="J10" i="8" s="1"/>
  <c r="G9" i="8"/>
  <c r="H9" i="8" s="1"/>
  <c r="J9" i="8" s="1"/>
  <c r="G8" i="8"/>
  <c r="H8" i="8" s="1"/>
  <c r="J8" i="8" s="1"/>
  <c r="G7" i="8"/>
  <c r="H7" i="8" s="1"/>
  <c r="J7" i="8" s="1"/>
  <c r="G6" i="8"/>
  <c r="H6" i="8" s="1"/>
  <c r="J6" i="8" s="1"/>
  <c r="G5" i="8"/>
  <c r="H5" i="8" s="1"/>
  <c r="J30" i="10" l="1"/>
  <c r="L22" i="11"/>
  <c r="L56" i="11"/>
  <c r="G15" i="9"/>
  <c r="H15" i="9" s="1"/>
  <c r="J15" i="9" s="1"/>
  <c r="J28" i="10"/>
  <c r="H11" i="8"/>
  <c r="G12" i="9"/>
  <c r="H12" i="9" s="1"/>
  <c r="K18" i="10"/>
  <c r="H5" i="11"/>
  <c r="G20" i="11"/>
  <c r="J20" i="11" s="1"/>
  <c r="L20" i="11" s="1"/>
  <c r="G40" i="11"/>
  <c r="J40" i="11" s="1"/>
  <c r="J34" i="9"/>
  <c r="K12" i="10"/>
  <c r="J14" i="11"/>
  <c r="L14" i="11" s="1"/>
  <c r="G42" i="11"/>
  <c r="L57" i="11"/>
  <c r="F7" i="3"/>
  <c r="G23" i="10"/>
  <c r="J17" i="10"/>
  <c r="J19" i="10"/>
  <c r="J41" i="10"/>
  <c r="L6" i="11"/>
  <c r="L24" i="11"/>
  <c r="L55" i="11"/>
  <c r="G43" i="11"/>
  <c r="H40" i="10"/>
  <c r="J40" i="10" s="1"/>
  <c r="K11" i="10"/>
  <c r="F25" i="11"/>
  <c r="G41" i="11"/>
  <c r="G44" i="11" s="1"/>
  <c r="D29" i="2" s="1"/>
  <c r="J29" i="2" s="1"/>
  <c r="L52" i="11"/>
  <c r="F3" i="3"/>
  <c r="F8" i="3"/>
  <c r="J11" i="2"/>
  <c r="J49" i="2"/>
  <c r="D19" i="1" s="1"/>
  <c r="K6" i="13"/>
  <c r="L6" i="13" s="1"/>
  <c r="I6" i="13"/>
  <c r="K8" i="13"/>
  <c r="L5" i="13"/>
  <c r="L8" i="13" s="1"/>
  <c r="K15" i="13"/>
  <c r="L17" i="13" s="1"/>
  <c r="L21" i="13" s="1"/>
  <c r="L12" i="13"/>
  <c r="L15" i="13" s="1"/>
  <c r="I7" i="13"/>
  <c r="H8" i="13"/>
  <c r="I5" i="13"/>
  <c r="J5" i="11"/>
  <c r="J43" i="11"/>
  <c r="L43" i="11" s="1"/>
  <c r="J34" i="11"/>
  <c r="J42" i="11"/>
  <c r="L42" i="11" s="1"/>
  <c r="J30" i="11"/>
  <c r="D8" i="4" s="1"/>
  <c r="L29" i="11"/>
  <c r="L30" i="11" s="1"/>
  <c r="L49" i="11"/>
  <c r="L59" i="11" s="1"/>
  <c r="H59" i="11"/>
  <c r="D11" i="4" s="1"/>
  <c r="F11" i="4" s="1"/>
  <c r="H6" i="11"/>
  <c r="F9" i="11"/>
  <c r="L13" i="11"/>
  <c r="L15" i="11" s="1"/>
  <c r="G21" i="11"/>
  <c r="J21" i="11" s="1"/>
  <c r="L21" i="11" s="1"/>
  <c r="G30" i="11"/>
  <c r="G8" i="11"/>
  <c r="J8" i="11" s="1"/>
  <c r="L8" i="11" s="1"/>
  <c r="G19" i="11"/>
  <c r="G35" i="11"/>
  <c r="J35" i="11" s="1"/>
  <c r="L35" i="11" s="1"/>
  <c r="H19" i="11"/>
  <c r="H32" i="10"/>
  <c r="J32" i="10" s="1"/>
  <c r="H37" i="10"/>
  <c r="K38" i="10"/>
  <c r="K43" i="10" s="1"/>
  <c r="J11" i="10"/>
  <c r="H13" i="10"/>
  <c r="J13" i="10" s="1"/>
  <c r="K14" i="10"/>
  <c r="K23" i="10" s="1"/>
  <c r="H21" i="10"/>
  <c r="J21" i="10" s="1"/>
  <c r="K22" i="10"/>
  <c r="J27" i="10"/>
  <c r="H29" i="10"/>
  <c r="J29" i="10" s="1"/>
  <c r="K30" i="10"/>
  <c r="K33" i="10" s="1"/>
  <c r="H42" i="10"/>
  <c r="J42" i="10" s="1"/>
  <c r="H16" i="10"/>
  <c r="J16" i="10" s="1"/>
  <c r="K17" i="10"/>
  <c r="H15" i="10"/>
  <c r="J15" i="10" s="1"/>
  <c r="H28" i="9"/>
  <c r="D17" i="2" s="1"/>
  <c r="J17" i="2" s="1"/>
  <c r="H18" i="9"/>
  <c r="D16" i="2" s="1"/>
  <c r="J16" i="2" s="1"/>
  <c r="J12" i="9"/>
  <c r="J18" i="9" s="1"/>
  <c r="J33" i="9"/>
  <c r="J35" i="9" s="1"/>
  <c r="H35" i="9"/>
  <c r="D18" i="2" s="1"/>
  <c r="J18" i="2" s="1"/>
  <c r="L28" i="9"/>
  <c r="L29" i="9" s="1"/>
  <c r="J22" i="9"/>
  <c r="J28" i="9" s="1"/>
  <c r="J20" i="8"/>
  <c r="H20" i="8"/>
  <c r="J19" i="8"/>
  <c r="H19" i="8"/>
  <c r="G25" i="8"/>
  <c r="J22" i="8"/>
  <c r="H22" i="8"/>
  <c r="J24" i="8"/>
  <c r="H24" i="8"/>
  <c r="J21" i="8"/>
  <c r="H21" i="8"/>
  <c r="J23" i="8"/>
  <c r="H23" i="8"/>
  <c r="J5" i="8"/>
  <c r="J11" i="8" s="1"/>
  <c r="L40" i="11" l="1"/>
  <c r="F8" i="4"/>
  <c r="J29" i="8"/>
  <c r="M29" i="8" s="1"/>
  <c r="D14" i="2"/>
  <c r="D41" i="4"/>
  <c r="F41" i="4" s="1"/>
  <c r="D45" i="4"/>
  <c r="F45" i="4" s="1"/>
  <c r="J41" i="11"/>
  <c r="L41" i="11" s="1"/>
  <c r="C15" i="8"/>
  <c r="E15" i="8" s="1"/>
  <c r="J15" i="8" s="1"/>
  <c r="D13" i="2"/>
  <c r="G36" i="11"/>
  <c r="J15" i="11"/>
  <c r="D6" i="4" s="1"/>
  <c r="D14" i="1"/>
  <c r="J19" i="11"/>
  <c r="G25" i="11"/>
  <c r="L5" i="11"/>
  <c r="L9" i="11" s="1"/>
  <c r="J9" i="11"/>
  <c r="D5" i="4" s="1"/>
  <c r="G9" i="11"/>
  <c r="D23" i="2" s="1"/>
  <c r="J36" i="11"/>
  <c r="D9" i="4" s="1"/>
  <c r="F9" i="4" s="1"/>
  <c r="L34" i="11"/>
  <c r="L36" i="11" s="1"/>
  <c r="J33" i="10"/>
  <c r="H33" i="10"/>
  <c r="D31" i="4" s="1"/>
  <c r="F31" i="4" s="1"/>
  <c r="H43" i="10"/>
  <c r="D32" i="4" s="1"/>
  <c r="F32" i="4" s="1"/>
  <c r="J37" i="10"/>
  <c r="J43" i="10" s="1"/>
  <c r="J23" i="10"/>
  <c r="H23" i="10"/>
  <c r="J46" i="9"/>
  <c r="B39" i="9"/>
  <c r="H25" i="8"/>
  <c r="B33" i="8" s="1"/>
  <c r="J25" i="8"/>
  <c r="J27" i="8" s="1"/>
  <c r="J23" i="2" l="1"/>
  <c r="D30" i="4"/>
  <c r="F30" i="4" s="1"/>
  <c r="D15" i="2"/>
  <c r="J15" i="2" s="1"/>
  <c r="F5" i="4"/>
  <c r="D34" i="2"/>
  <c r="J34" i="2" s="1"/>
  <c r="J14" i="2"/>
  <c r="F6" i="4"/>
  <c r="D24" i="2"/>
  <c r="J24" i="2" s="1"/>
  <c r="D33" i="2"/>
  <c r="F21" i="2"/>
  <c r="C4" i="3" s="1"/>
  <c r="G21" i="2"/>
  <c r="D4" i="3" s="1"/>
  <c r="J13" i="2"/>
  <c r="J21" i="2" s="1"/>
  <c r="D15" i="1" s="1"/>
  <c r="J44" i="11"/>
  <c r="D10" i="4" s="1"/>
  <c r="L44" i="11"/>
  <c r="J25" i="11"/>
  <c r="L19" i="11"/>
  <c r="L25" i="11" s="1"/>
  <c r="J49" i="10"/>
  <c r="L52" i="10" s="1"/>
  <c r="B47" i="10"/>
  <c r="D47" i="10" s="1"/>
  <c r="E47" i="10" s="1"/>
  <c r="F47" i="10" s="1"/>
  <c r="H47" i="10" s="1"/>
  <c r="B40" i="9"/>
  <c r="D40" i="9" s="1"/>
  <c r="F40" i="9" s="1"/>
  <c r="K40" i="9" s="1"/>
  <c r="B42" i="9"/>
  <c r="D42" i="9" s="1"/>
  <c r="F42" i="9" s="1"/>
  <c r="B43" i="9"/>
  <c r="D43" i="9" s="1"/>
  <c r="F43" i="9" s="1"/>
  <c r="B41" i="9"/>
  <c r="D41" i="9" s="1"/>
  <c r="F41" i="9" s="1"/>
  <c r="B35" i="8"/>
  <c r="D35" i="8" s="1"/>
  <c r="F35" i="8" s="1"/>
  <c r="K35" i="8" s="1"/>
  <c r="B36" i="8"/>
  <c r="D36" i="8" s="1"/>
  <c r="F36" i="8" s="1"/>
  <c r="K36" i="8" s="1"/>
  <c r="B37" i="8"/>
  <c r="D37" i="8" s="1"/>
  <c r="F37" i="8" s="1"/>
  <c r="K37" i="8" s="1"/>
  <c r="B34" i="8"/>
  <c r="D34" i="8" s="1"/>
  <c r="F34" i="8" s="1"/>
  <c r="K34" i="8" s="1"/>
  <c r="L61" i="11" l="1"/>
  <c r="D24" i="4"/>
  <c r="F24" i="4" s="1"/>
  <c r="F37" i="2"/>
  <c r="C6" i="3" s="1"/>
  <c r="G37" i="2"/>
  <c r="D6" i="3" s="1"/>
  <c r="H37" i="2"/>
  <c r="E6" i="3" s="1"/>
  <c r="E37" i="2"/>
  <c r="B6" i="3" s="1"/>
  <c r="J33" i="2"/>
  <c r="J37" i="2" s="1"/>
  <c r="L63" i="11"/>
  <c r="L65" i="11" s="1"/>
  <c r="D7" i="4"/>
  <c r="J31" i="2"/>
  <c r="G31" i="2"/>
  <c r="D5" i="3" s="1"/>
  <c r="D9" i="3" s="1"/>
  <c r="E21" i="2"/>
  <c r="B4" i="3" s="1"/>
  <c r="F31" i="2"/>
  <c r="C5" i="3" s="1"/>
  <c r="C9" i="3" s="1"/>
  <c r="F10" i="4"/>
  <c r="H21" i="2"/>
  <c r="E4" i="3" s="1"/>
  <c r="E31" i="2"/>
  <c r="B5" i="3" s="1"/>
  <c r="H31" i="2"/>
  <c r="E5" i="3" s="1"/>
  <c r="K43" i="9"/>
  <c r="I43" i="9"/>
  <c r="I41" i="9"/>
  <c r="K41" i="9"/>
  <c r="D25" i="4" s="1"/>
  <c r="F25" i="4" s="1"/>
  <c r="K42" i="9"/>
  <c r="D26" i="4" s="1"/>
  <c r="F26" i="4" s="1"/>
  <c r="I42" i="9"/>
  <c r="I40" i="9"/>
  <c r="I44" i="9" s="1"/>
  <c r="I36" i="8"/>
  <c r="I35" i="8"/>
  <c r="I34" i="8"/>
  <c r="I37" i="8"/>
  <c r="D10" i="3" l="1"/>
  <c r="D11" i="3" s="1"/>
  <c r="C28" i="1"/>
  <c r="C10" i="3"/>
  <c r="C11" i="3" s="1"/>
  <c r="C27" i="1"/>
  <c r="D17" i="1"/>
  <c r="J50" i="2"/>
  <c r="J51" i="2" s="1"/>
  <c r="J52" i="2" s="1"/>
  <c r="F58" i="4"/>
  <c r="F6" i="3"/>
  <c r="B9" i="3"/>
  <c r="F4" i="3"/>
  <c r="F5" i="3"/>
  <c r="D16" i="1"/>
  <c r="L31" i="2"/>
  <c r="E9" i="3"/>
  <c r="F7" i="4"/>
  <c r="I38" i="8"/>
  <c r="C29" i="1" l="1"/>
  <c r="E10" i="3"/>
  <c r="E11" i="3" s="1"/>
  <c r="D20" i="1"/>
  <c r="D21" i="1" s="1"/>
  <c r="D22" i="1" s="1"/>
  <c r="F9" i="3"/>
  <c r="B10" i="3"/>
  <c r="B11" i="3" s="1"/>
  <c r="C26" i="1"/>
  <c r="D27" i="1" l="1"/>
  <c r="E14" i="1"/>
  <c r="E18" i="1"/>
  <c r="E19" i="1"/>
  <c r="E15" i="1"/>
  <c r="E17" i="1"/>
  <c r="F10" i="3"/>
  <c r="C30" i="1" s="1"/>
  <c r="D30" i="1" s="1"/>
  <c r="E16" i="1"/>
  <c r="D28" i="1"/>
  <c r="D26" i="1"/>
  <c r="D29" i="1"/>
  <c r="E20" i="1" l="1"/>
  <c r="F11" i="3"/>
  <c r="D12" i="3" l="1"/>
  <c r="F12" i="3"/>
  <c r="C12" i="3"/>
  <c r="B12" i="3"/>
  <c r="E12" i="3"/>
</calcChain>
</file>

<file path=xl/sharedStrings.xml><?xml version="1.0" encoding="utf-8"?>
<sst xmlns="http://schemas.openxmlformats.org/spreadsheetml/2006/main" count="1209" uniqueCount="681">
  <si>
    <t>PRESUPUESTO CASA DE LA CULTURA — TONA, SANTANDER</t>
  </si>
  <si>
    <t>RESUMEN EJECUTIVO — Versión 5 — Auditoría y ampliación integral — Febrero 2026</t>
  </si>
  <si>
    <t>INFORMACIÓN DEL PROYECTO</t>
  </si>
  <si>
    <t>Proyecto</t>
  </si>
  <si>
    <t>Adecuación y reforzamiento estructural — Casa de la Cultura</t>
  </si>
  <si>
    <t>Municipio</t>
  </si>
  <si>
    <t>Tona, Santander, Colombia</t>
  </si>
  <si>
    <t>Contratante</t>
  </si>
  <si>
    <t>Cámara de Comercio de Bucaramanga / Alcaldía de Tona</t>
  </si>
  <si>
    <t>Diseñador est.</t>
  </si>
  <si>
    <t>Ing. César A. Méndez P. — Mat. 68202-395222 STD</t>
  </si>
  <si>
    <t>Revisión planos</t>
  </si>
  <si>
    <t>EST_CASA_DE_LA_CULTURA_TONA REV_00 (30/01/2026)</t>
  </si>
  <si>
    <t>Normas aplics.</t>
  </si>
  <si>
    <t>NSR-10 | NTC 2289 | AISC 360 | AWS D1.5-2015</t>
  </si>
  <si>
    <t>Fecha presupuesto</t>
  </si>
  <si>
    <t>Febrero 2026</t>
  </si>
  <si>
    <t>CUADRO RESUMEN DE COSTOS POR CAPÍTULO Y COMPONENTE</t>
  </si>
  <si>
    <t>N°</t>
  </si>
  <si>
    <t>CAPÍTULO / CONCEPTO</t>
  </si>
  <si>
    <t>FINANCIADOR</t>
  </si>
  <si>
    <t>SUBTOTAL (COP)</t>
  </si>
  <si>
    <t>% TOTAL</t>
  </si>
  <si>
    <t>1. PRELIMINARES Y DEMOLICIONES</t>
  </si>
  <si>
    <t>Mixto (ver desglose)</t>
  </si>
  <si>
    <t>2. CIMENTACIÓN</t>
  </si>
  <si>
    <t>3. ESTRUCTURA METÁLICA Y ENTREPISO</t>
  </si>
  <si>
    <t>4. PISOS Y ACABADOS</t>
  </si>
  <si>
    <t>5. MUROS Y CARPINTERÍA</t>
  </si>
  <si>
    <t>6. INSTALACIONES ELÉCTRICAS</t>
  </si>
  <si>
    <t>SUBTOTAL DIRECTO</t>
  </si>
  <si>
    <t>Imprevistos 5%</t>
  </si>
  <si>
    <t>GRAN TOTAL PROYECTO (Sin AIU contratista)</t>
  </si>
  <si>
    <t>DESGLOSE POR COMPONENTE / FINANCIADOR</t>
  </si>
  <si>
    <t>COMPONENTE</t>
  </si>
  <si>
    <t>VALOR (COP)</t>
  </si>
  <si>
    <t>% PROYECTO</t>
  </si>
  <si>
    <t>Materiales (todos los capítulos)</t>
  </si>
  <si>
    <t>Cámara de Comercio BGA</t>
  </si>
  <si>
    <t>Mano de Obra (todos los capítulos)</t>
  </si>
  <si>
    <t>Alcaldía de Tona</t>
  </si>
  <si>
    <t>Alquiler Equipos / Herramientas</t>
  </si>
  <si>
    <t>Transporte / Fletes</t>
  </si>
  <si>
    <t>Mixto</t>
  </si>
  <si>
    <t>NOTAS AUDITORÍA v5: (1) Madera corregida a ML (13×5.90m + 2×1.66m = 80.02 ml) y m² entablado (66.5 m²). (2) Soldadura heurística: 3% mat. estructura / 32,000 COP/kg = 31.7 kg. (3) Capítulos 4-6 añadidos con APUs mercado Santander 2026. (4) No incluye AIU contratista ni IVA.</t>
  </si>
  <si>
    <t>PRESUPUESTO GENERAL — A TODO COSTO — CASA DE LA CULTURA, TONA, SANTANDER</t>
  </si>
  <si>
    <t>Precios unitarios reflejan mercado Santander/Bucaramanga Feb-2026. Todos los valores en COP.</t>
  </si>
  <si>
    <t>ÍTEM</t>
  </si>
  <si>
    <t>DESCRIPCIÓN</t>
  </si>
  <si>
    <t>UNID</t>
  </si>
  <si>
    <t>CANT.</t>
  </si>
  <si>
    <t>V.UNIT MAT.
(COP)</t>
  </si>
  <si>
    <t>V.UNIT MO
(COP)</t>
  </si>
  <si>
    <t>V.UNIT EQ.
(COP)</t>
  </si>
  <si>
    <t>V.UNIT TRANSP.
(COP)</t>
  </si>
  <si>
    <t>V. UNIT. TOTAL
(COP)</t>
  </si>
  <si>
    <t>V. TOTAL
(COP)</t>
  </si>
  <si>
    <t>CAPÍTULO 1: PRELIMINARES Y DEMOLICIONES</t>
  </si>
  <si>
    <t>1.1</t>
  </si>
  <si>
    <t>Localización y replanteo (trazado y niveles)</t>
  </si>
  <si>
    <t>m²</t>
  </si>
  <si>
    <t>1.2</t>
  </si>
  <si>
    <t>Protección muros tapia pisada (apantalado ambas caras)</t>
  </si>
  <si>
    <t>ml</t>
  </si>
  <si>
    <t>1.3</t>
  </si>
  <si>
    <t>Apuntalamiento provisional muros (caballetes en V-inv.)</t>
  </si>
  <si>
    <t>und</t>
  </si>
  <si>
    <t>1.4</t>
  </si>
  <si>
    <t>Desmonte entrepiso madera existente</t>
  </si>
  <si>
    <t>1.5</t>
  </si>
  <si>
    <t>Demolición pisos concreto existentes</t>
  </si>
  <si>
    <t>1.6</t>
  </si>
  <si>
    <t>Retiro y disposición de escombros en sitio autorizado</t>
  </si>
  <si>
    <t>m³</t>
  </si>
  <si>
    <t>SUBTOTAL CAPÍTULO 1: PRELIMINARES Y DEMOLICIONES</t>
  </si>
  <si>
    <t>CAPÍTULO 2: CIMENTACIÓN</t>
  </si>
  <si>
    <t>2.1</t>
  </si>
  <si>
    <t>Excavación manual para zapatas (sobreexcavación 20%)</t>
  </si>
  <si>
    <t>2.2</t>
  </si>
  <si>
    <t>Solado f'c=17.5MPa e=5cm bajo zapatas</t>
  </si>
  <si>
    <t>2.3</t>
  </si>
  <si>
    <t>Acero refuerzo fy=420MPa (zapatas y pedestales) incl. alambre</t>
  </si>
  <si>
    <t>kg</t>
  </si>
  <si>
    <t>2.4</t>
  </si>
  <si>
    <t>Concreto f'c=21MPa zapatas aisladas (3.09 m³)</t>
  </si>
  <si>
    <t>2.5</t>
  </si>
  <si>
    <t>Concreto f'c=21MPa pedestales + formaleta metálica (1.53 m³)</t>
  </si>
  <si>
    <t>2.6</t>
  </si>
  <si>
    <t>Relleno concreto f'c=21MPa interior columnas PTE (0.89 m³)</t>
  </si>
  <si>
    <t>2.7</t>
  </si>
  <si>
    <t>Platinas placas base + pernos anclaje A193 B7 + grouting Sikagrout 212</t>
  </si>
  <si>
    <t>gl</t>
  </si>
  <si>
    <t>2.8</t>
  </si>
  <si>
    <t>Relleno y compactación excavaciones con material recebo</t>
  </si>
  <si>
    <t>SUBTOTAL CAPÍTULO 2: CIMENTACIÓN</t>
  </si>
  <si>
    <t>CAPÍTULO 3: ESTRUCTURA METÁLICA Y ENTREPISO</t>
  </si>
  <si>
    <t>3.1</t>
  </si>
  <si>
    <t>Columnas metálicas PTE 200×200×5mm y PTE 220×220×7mm ASTM A500 Gr.C (6 col.)</t>
  </si>
  <si>
    <t>3.2</t>
  </si>
  <si>
    <t>Vigas metálicas IPE270+IPE300+Perf.Armado+PHR CC203 — ASTM A572 Gr.50</t>
  </si>
  <si>
    <t>3.3</t>
  </si>
  <si>
    <t>Soldadura E7018/E70XX (cálculo heurístico 3% mat. estructura / precio kg)</t>
  </si>
  <si>
    <t>3.4</t>
  </si>
  <si>
    <t>Conexiones/herrajes madera: ángulos 1½"×3/16", pernos ½" A193, abrazaderas e=⅛", clavos</t>
  </si>
  <si>
    <t>3.5</t>
  </si>
  <si>
    <t>Vigas cargueras Sapán rollizas D=16cm ES2 [80.02 ml: 13×5.90m + 2×1.66m]</t>
  </si>
  <si>
    <t>3.6</t>
  </si>
  <si>
    <t>Entablado madera — tablas 1" (área neta 66.5 m²)</t>
  </si>
  <si>
    <t>3.7</t>
  </si>
  <si>
    <t>Estructura metálica escalera PHR CC 203×67×2.5mm + platinas soporte (peso 169 kg)</t>
  </si>
  <si>
    <t>3.8</t>
  </si>
  <si>
    <t>Pasos y descansos escalera Sapán 100×28×4cm (18 pasos + 2 descansos)</t>
  </si>
  <si>
    <t>SUBTOTAL CAPÍTULO 3: ESTRUCTURA METÁLICA Y ENTREPISO</t>
  </si>
  <si>
    <t>CAPÍTULO 4: PISOS Y ACABADOS</t>
  </si>
  <si>
    <t>4.1</t>
  </si>
  <si>
    <t>Afirmado compactado material granular e=15cm (base piso primer nivel)</t>
  </si>
  <si>
    <t>4.2</t>
  </si>
  <si>
    <t>Placa contrapiso f'c=17.5MPa e=10cm con malla electrosoldada ø4mm c/15cm</t>
  </si>
  <si>
    <t>4.3</t>
  </si>
  <si>
    <t>4.4</t>
  </si>
  <si>
    <t>Guardaescobas ladrillo prensado h=10cm con mortero</t>
  </si>
  <si>
    <t>SUBTOTAL CAPÍTULO 4: PISOS Y ACABADOS</t>
  </si>
  <si>
    <t>CAPÍTULO 5: MUROS Y CARPINTERÍA</t>
  </si>
  <si>
    <t>5.1</t>
  </si>
  <si>
    <t>Reparación de fisuras y morteros de junta en muros tapia pisada</t>
  </si>
  <si>
    <t>5.2</t>
  </si>
  <si>
    <t>Pañete y acabado fino muros tapia (mezcla ½ cemento + ½ cal + arena 1:3)</t>
  </si>
  <si>
    <t>5.3</t>
  </si>
  <si>
    <t>Mantenimiento carpintería madera: puertas y ventanas (lija, masilla, pintura)</t>
  </si>
  <si>
    <t>SUBTOTAL CAPÍTULO 5: MUROS Y CARPINTERÍA</t>
  </si>
  <si>
    <t>CAPÍTULO 6: INSTALACIONES ELÉCTRICAS</t>
  </si>
  <si>
    <t>6.1</t>
  </si>
  <si>
    <t>Acometida eléctrica bifásica 10mm² + canalización conduit EMT 1"</t>
  </si>
  <si>
    <t>6.2</t>
  </si>
  <si>
    <t>Tablero bifásico 12 circuitos con breakers incluidos</t>
  </si>
  <si>
    <t>6.3</t>
  </si>
  <si>
    <t>Tomacorrientes dobles polarizados con placa + caja conduit EMT</t>
  </si>
  <si>
    <t>6.4</t>
  </si>
  <si>
    <t>Interruptores sencillos con placa + caja conduit EMT</t>
  </si>
  <si>
    <t>6.5</t>
  </si>
  <si>
    <t>Luminarias LED panel 2×18W empotradas — incluye soporte y cableado</t>
  </si>
  <si>
    <t>SUBTOTAL CAPÍTULO 6: INSTALACIONES ELÉCTRICAS</t>
  </si>
  <si>
    <t>SUBTOTAL DIRECTO (sin imprevistos)</t>
  </si>
  <si>
    <t>GRAN TOTAL PROYECTO  (Sin AIU contratista — Sin IVA)</t>
  </si>
  <si>
    <t>CUADRO RESUMEN POR COMPONENTE / FINANCIADOR — CASA DE LA CULTURA TONA</t>
  </si>
  <si>
    <t>CAPÍTULO</t>
  </si>
  <si>
    <t>MATERIALES
(Cámara Cio.)</t>
  </si>
  <si>
    <t>MANO DE OBRA
(Alcaldía)</t>
  </si>
  <si>
    <t>EQUIPOS
(Alcaldía)</t>
  </si>
  <si>
    <t>TRANSPORTE
(Alcaldía)</t>
  </si>
  <si>
    <t>TOTAL CAPÍTULO</t>
  </si>
  <si>
    <t>GRAN TOTAL</t>
  </si>
  <si>
    <t>% del Total</t>
  </si>
  <si>
    <t>ENTE A (Cámara de Comercio BGA): Suministro EXCLUSIVO de MATERIALES. ENTE B (Alcaldía de Tona): Mano de Obra, Equipos y Transporte.</t>
  </si>
  <si>
    <t>LISTA MAESTRA DE MATERIALES — PARA CÁMARA DE COMERCIO DE BUCARAMANGA</t>
  </si>
  <si>
    <t>Consolidado comercial de compras — Casa de la Cultura Tona — Febrero 2026</t>
  </si>
  <si>
    <t>MATERIAL / INSUMO</t>
  </si>
  <si>
    <t>UNID.</t>
  </si>
  <si>
    <t>CANTIDAD
TOTAL</t>
  </si>
  <si>
    <t>P. UNIT.
(COP)</t>
  </si>
  <si>
    <t>VALOR TOTAL
(COP)</t>
  </si>
  <si>
    <t>─── ACEROS ESTRUCTURALES ───</t>
  </si>
  <si>
    <t>Perfil tubular PTE 200×200×5mm ASTM A500 Gr.C</t>
  </si>
  <si>
    <t>Perfil tubular PTE 220×220×7mm ASTM A500 Gr.C</t>
  </si>
  <si>
    <t>Perfil IPE270 ASTM A572 Gr.50</t>
  </si>
  <si>
    <t>Perfil IPE300 ASTM A572 Gr.50</t>
  </si>
  <si>
    <t>Perfil armado soldado A572 Gr.50 (fabricación taller)</t>
  </si>
  <si>
    <t>PHR CC 203×67×2.5mm A-1011 Gr.50 (escalera)</t>
  </si>
  <si>
    <t>Platinas, placas base y rigidizadores A572 Gr.50</t>
  </si>
  <si>
    <t>Ángulo 1½"×3/16" ASTM A572 Gr.50 (herraje madera)</t>
  </si>
  <si>
    <t>m</t>
  </si>
  <si>
    <t>Abrazaderas (pletinas) acero e=1/8" (6 ud × ~0.5 kg)</t>
  </si>
  <si>
    <t>─── PERNOS, ANCLAJES Y TORNILLERÍA ───</t>
  </si>
  <si>
    <t>Perno anclaje A193 B7 ø5/8" L=330mm + tuercas A194 + arandelas F436</t>
  </si>
  <si>
    <t>ud</t>
  </si>
  <si>
    <t>Perno anclaje A193 B7 ø1/2" L=300mm + tuercas + arandelas (escalera/descanso)</t>
  </si>
  <si>
    <t>Perno anclaje A193 B7 ø3/4" L=280mm + tuercas + arandelas (viga-col.)</t>
  </si>
  <si>
    <t>Perno estructural A325N ø5/8" + accesorios (viga-viga CX9)</t>
  </si>
  <si>
    <t>Perno A193 B7 ø1/2" L=190mm conexión madera-acero CX-MAD</t>
  </si>
  <si>
    <t>Tirafondo galv. 1-1/4"×14" (pasos escalera)</t>
  </si>
  <si>
    <t>─── SOLDADURA ───</t>
  </si>
  <si>
    <t>Electrodo soldadura E7018 (cálculo heurístico 3%/32,000 COP/kg = 31.7 kg)</t>
  </si>
  <si>
    <t>─── CONCRETO E INSUMOS ───</t>
  </si>
  <si>
    <t>Cemento Portland gris bulto 50kg (zapatas+pedestales+relleno PTE)</t>
  </si>
  <si>
    <t>bulto</t>
  </si>
  <si>
    <t>Arena río limpia m³ (puesta en obra)</t>
  </si>
  <si>
    <t>Triturado 3/4" m³ (puesto en obra)</t>
  </si>
  <si>
    <t>SIKAGROUT 212 bulto 25kg (grouting placas base)</t>
  </si>
  <si>
    <t>Aditivo plastificante caneca 20kg</t>
  </si>
  <si>
    <t>─── ACERO DE REFUERZO ───</t>
  </si>
  <si>
    <t>Varilla corrugada ø1/2" (ø#4) fy=420MPa barras 6m</t>
  </si>
  <si>
    <t>Varilla corrugada ø5/8" (ø#5) fy=420MPa barras 6m</t>
  </si>
  <si>
    <t>Varilla lisa ø3/8" (ø#3) fy=420MPa barras 6m (estribos)</t>
  </si>
  <si>
    <t>Alambre negro #18 rollo 25kg</t>
  </si>
  <si>
    <t>rollo</t>
  </si>
  <si>
    <t>─── MADERA ESTRUCTURAL SAPÁN ES2 ───</t>
  </si>
  <si>
    <t>Viga rolliza Sapán D=16cm cepillada ES2 (13×5.90m + 2×1.66m = 80.02 ml)</t>
  </si>
  <si>
    <t>Tablas madera entablado 1" (área neta 66.5 m²)</t>
  </si>
  <si>
    <t>Tablones Sapán pasos escalera 100×28×4cm</t>
  </si>
  <si>
    <t>Clavos 2.5" para entablado y amarradera (madera)</t>
  </si>
  <si>
    <t>─── PISOS Y ACABADOS ───</t>
  </si>
  <si>
    <t>Material granular (recebo compactado) para afirmado</t>
  </si>
  <si>
    <t>Mortero seco gris para enchape (bultos 25kg)</t>
  </si>
  <si>
    <t>Malla electrosoldada ø4mm c/15cm (contrapiso)</t>
  </si>
  <si>
    <t>─── MUROS Y CARPINTERÍA ───</t>
  </si>
  <si>
    <t>Cemento Portland gris bultos (pañete y reparación muros)</t>
  </si>
  <si>
    <t>Cal hidratada bulto 25kg (mezcla muros tapia)</t>
  </si>
  <si>
    <t>Arena fina tamizada m³ (morteros muros)</t>
  </si>
  <si>
    <t>Anticorrosivo epóxico cromato zinc 1/4 gal (estructura met.)</t>
  </si>
  <si>
    <t>Esmalte acrílico industrial 1/4 gal (acabado estructura)</t>
  </si>
  <si>
    <t>─── INSTALACIONES ELÉCTRICAS ───</t>
  </si>
  <si>
    <t>Acometida bifásica cable 10mm² + conduit EMT 1"</t>
  </si>
  <si>
    <t>Tablero bifásico 12 circuitos + breakers</t>
  </si>
  <si>
    <t>Tomacorriente doble polarizado + placa + caja conduit</t>
  </si>
  <si>
    <t>Interruptor sencillo + placa + caja conduit EMT</t>
  </si>
  <si>
    <t>Luminaria LED panel 2×18W empotrada</t>
  </si>
  <si>
    <t>TOTAL LISTA MAESTRA DE MATERIALES (COP)</t>
  </si>
  <si>
    <t>NOTA: Precios puestos en Bucaramanga. Los materiales con transporte a Tona (~75 km) están incluidos en el Capítulo de Transporte (Alcaldía). Esta lista es el insumo para la orden de compra de la Cámara de Comercio.</t>
  </si>
  <si>
    <t>LISTA MAESTRA DE LOGÍSTICA — PARA ALCALDÍA DE TONA</t>
  </si>
  <si>
    <t>Consolidado de Mano de Obra | Equipos | Transporte — Casa de la Cultura Tona — Febrero 2026</t>
  </si>
  <si>
    <t>CONCEPTO</t>
  </si>
  <si>
    <t>CANTIDAD</t>
  </si>
  <si>
    <t>TARIFA
(COP)</t>
  </si>
  <si>
    <t>─── A. MANO DE OBRA ───</t>
  </si>
  <si>
    <t>Cuadrilla obra civil: 4 obreros × 45 días × SMMLV/30</t>
  </si>
  <si>
    <t>jornal</t>
  </si>
  <si>
    <t>Maestro de obra civil: 1 maestro × 45 días × 1.5 SMMLV/30</t>
  </si>
  <si>
    <t>Soldador certificado AWS D1.5: 4 dias fabricación + 8 días campo</t>
  </si>
  <si>
    <t>día</t>
  </si>
  <si>
    <t>Montador estructura metálica: 4 montadores × 12 días</t>
  </si>
  <si>
    <t>Electricista: 2 técnicos × 8 días</t>
  </si>
  <si>
    <t>Carpintero: 2 carpinteros × 10 días (madera)</t>
  </si>
  <si>
    <t>Factor prestaciones sociales FP=1.83 (aplicado sobre nómina civil)</t>
  </si>
  <si>
    <t>─── B. ALQUILER EQUIPOS Y HERRAMIENTAS ───</t>
  </si>
  <si>
    <t>Mezcladora concreto 1 saco 300L (motor 5HP)</t>
  </si>
  <si>
    <t>Vibrador concreto ø1.5" manguera 6m</t>
  </si>
  <si>
    <t>Equipo soldadura MIG/FCAW 200A (gas CO2+Ar) — 2 equipos</t>
  </si>
  <si>
    <t>Equipo soldadura SMAW E7018 rectificador 300A</t>
  </si>
  <si>
    <t>Pulidora angular 7" 2600W — 3 equipos</t>
  </si>
  <si>
    <t>Grúa pluma hidráulica 2t (izaje estructura)</t>
  </si>
  <si>
    <t>Andamio multidireccional H=5m 50m² plataforma</t>
  </si>
  <si>
    <t>Compresor neumático 80gal 125PSI</t>
  </si>
  <si>
    <t>Nivel topográfico automático + estadal</t>
  </si>
  <si>
    <t>Cortadora concreto disco diamante ø350mm</t>
  </si>
  <si>
    <t>Taladro percutor SDS 1" 1000W — 2 equipos</t>
  </si>
  <si>
    <t>Taladro magnético + broca annular ø80mm</t>
  </si>
  <si>
    <t>Compresor pintura HVLP 0.5HP 8L</t>
  </si>
  <si>
    <t>Nivel láser rotativo 3D alcance 50m</t>
  </si>
  <si>
    <t>Formaleta metálica pedestales 6 m²</t>
  </si>
  <si>
    <t>Compactador de placa vibratoria (afirmado y rellenos)</t>
  </si>
  <si>
    <t>─── C. EPP Y SEGURIDAD INDUSTRIAL ───</t>
  </si>
  <si>
    <t>Casco dieléctrico clase E ANSI Z89.1</t>
  </si>
  <si>
    <t>Gafas anti-impacto ANSI Z87.1</t>
  </si>
  <si>
    <t>Guantes carnaza cl.1 EN-388</t>
  </si>
  <si>
    <t>par</t>
  </si>
  <si>
    <t>Botas punta acero dieléctrica</t>
  </si>
  <si>
    <t>Arnés de seguridad + línea vida doble ANSI Z359</t>
  </si>
  <si>
    <t>Señalización zona de obra (conos+cinta+vallas)</t>
  </si>
  <si>
    <t>Extintor polvo ABC 10lb</t>
  </si>
  <si>
    <t>Botiquín kit tipo C NSR-10</t>
  </si>
  <si>
    <t>─── D. TRANSPORTE Y FLETES BGA → TONA (~75 km) ───</t>
  </si>
  <si>
    <t>Tractomula 30t (estructura metálica completa)</t>
  </si>
  <si>
    <t>viaje</t>
  </si>
  <si>
    <t>Camión plataforma 10t (acero de refuerzo, varillas 6m)</t>
  </si>
  <si>
    <t>Camión carpado 10t (cemento+arena en bultos/estibas) — 2 viajes</t>
  </si>
  <si>
    <t>Volqueta 7m³ (triturado 3/4" a granel)</t>
  </si>
  <si>
    <t>Camión estacas 5t (madera Sapán rolliza)</t>
  </si>
  <si>
    <t>Camioneta doble troque (pernos, aditivos, pintura, insumos)</t>
  </si>
  <si>
    <t>Camión plataforma 10t (equipos: mezcladora, andamios) — 2 viajes</t>
  </si>
  <si>
    <t>Camión carpado 10t (pisos, ladrillo, materiales acabados)</t>
  </si>
  <si>
    <t>Camión (materiales eléctricos, carpintería)</t>
  </si>
  <si>
    <t>TOTAL LISTA MAESTRA LOGÍSTICA (COP)</t>
  </si>
  <si>
    <t>TOTALES PRESUPUESTADOS (de presupuesto general): MO=56,425,965 | Equipos=14,260,421 | Transporte=6,513,618 | TOTAL ALCALDÍA=77,200,004 COP</t>
  </si>
  <si>
    <t>ANÁLISIS DE PRECIOS UNITARIOS (APUs) — SELECCIÓN REPRESENTATIVA</t>
  </si>
  <si>
    <t>APU 3.5 — VIGA ROLLIZA SAPÁN D=16cm ES2 (Presupuesto en ML)</t>
  </si>
  <si>
    <t>UND</t>
  </si>
  <si>
    <t>CANT. UNIT.</t>
  </si>
  <si>
    <t>P. UNIT.(COP)</t>
  </si>
  <si>
    <t xml:space="preserve">  ── MATERIALES ──</t>
  </si>
  <si>
    <t>incl. 10% merma</t>
  </si>
  <si>
    <t>Rolliza Sapán D=16cm cepillada puesta obra</t>
  </si>
  <si>
    <t xml:space="preserve">  ── TRANSPORTES ──</t>
  </si>
  <si>
    <t>≈75km</t>
  </si>
  <si>
    <t>Flete proporcional BGA→Tona (incluido en cap. transporte)</t>
  </si>
  <si>
    <t xml:space="preserve">  ── MANO DE OBRA ──</t>
  </si>
  <si>
    <t>4m lineales/jornal</t>
  </si>
  <si>
    <t>Oficial carpintero (colocación y ajuste)</t>
  </si>
  <si>
    <t>Ayudante (carga y posicionamiento)</t>
  </si>
  <si>
    <t xml:space="preserve">  ── EQUIPOS ──</t>
  </si>
  <si>
    <t>Herramienta menor (sierra circular, taladro)</t>
  </si>
  <si>
    <t>PRECIO UNITARIO  |  MAT=50,000 | MO=9,000 | EQ=2,000 | TRANSP=2,500 = $63,500/ml</t>
  </si>
  <si>
    <t>APU 3.3 — CÁLCULO HEURÍSTICO SOLDADURA E7018</t>
  </si>
  <si>
    <t>para obtener 1kg depositado</t>
  </si>
  <si>
    <t>Electrodo E7018 caja 4.5kg (rendimiento ~0.7 kg/kg electrode)</t>
  </si>
  <si>
    <t>proporcional</t>
  </si>
  <si>
    <t>Gas de protección argón 75% + CO2 25%</t>
  </si>
  <si>
    <t>incluido en MO cap 3</t>
  </si>
  <si>
    <t>Soldador certificado AWS D1.5</t>
  </si>
  <si>
    <t>hora</t>
  </si>
  <si>
    <t>incluido en cap equipos</t>
  </si>
  <si>
    <t>Equipo soldadura SMAW — costo/kg</t>
  </si>
  <si>
    <t>PRECIO UNITARIO  |  Fórmula: 3% × $33,846,206 / $32,000/kg = 31.7 kg  → Valor total: $1,014,400</t>
  </si>
  <si>
    <t>APU 4.2 — PLACA CONTRAPISO f'c=17.5MPa e=10cm + MALLA</t>
  </si>
  <si>
    <t>350 kg/m³ × 0.1m</t>
  </si>
  <si>
    <t>Cemento Portland bulto 50kg</t>
  </si>
  <si>
    <t>Arena río m³ suelto</t>
  </si>
  <si>
    <t>Triturado 3/4" m³ suelto</t>
  </si>
  <si>
    <t>incl. traslapos 10%</t>
  </si>
  <si>
    <t>Malla electrosoldada ø4mm c/15cm</t>
  </si>
  <si>
    <t>rend. 15 m²/jornal cuadrilla</t>
  </si>
  <si>
    <t>Oficial concreto + 2 ayudantes (vaciado+nivelado+acabado)</t>
  </si>
  <si>
    <t>Mezcladora 1 saco 300L (proporcional)</t>
  </si>
  <si>
    <t>Herramienta menor (reglas, codales)</t>
  </si>
  <si>
    <t>Flete proporcional materiales</t>
  </si>
  <si>
    <t>PRECIO UNITARIO  |  MAT=38,500 | MO=22,000 | EQ=7,500 | TRANSP=3,200 = $71,200/m²</t>
  </si>
  <si>
    <t>APU 5.1 — REPARACIÓN MORTEROS FISURAS MUROS TAPIA PISADA</t>
  </si>
  <si>
    <t>Cemento Portland gris (para lechada de sellado)</t>
  </si>
  <si>
    <t>Cal hidratada para pasta de junta</t>
  </si>
  <si>
    <t>Arena fina tamizada m³</t>
  </si>
  <si>
    <t>Sika Flex 221 cartucho (fisuras abiertas)</t>
  </si>
  <si>
    <t>rend ~6 m²/jornal</t>
  </si>
  <si>
    <t>Maestro restaurador tapia (limpieza, sello, mortero)</t>
  </si>
  <si>
    <t>Ayudante</t>
  </si>
  <si>
    <t>Herramienta menor (llana, escarpe)</t>
  </si>
  <si>
    <t>PRECIO UNITARIO  |  MAT=22,000 | MO=18,500 | EQ=0 | TRANSP=1,200 = $41,700/m²</t>
  </si>
  <si>
    <t>CASA DE LA CULTURA - TONA, SANTANDER</t>
  </si>
  <si>
    <t>HOJA 1: EXCAVACIONES MANUALES, CARGUE/BOTADA Y SOLADO DE LIMPIEZA</t>
  </si>
  <si>
    <t>A. EXCAVACIÓN MANUAL PARA ZAPATAS — SOBREEXCAVACIÓN 0.30m c/lado (NSR-10 C.5)</t>
  </si>
  <si>
    <t>ZAPATA / EL.</t>
  </si>
  <si>
    <t>Largo exc.
(m)</t>
  </si>
  <si>
    <t>Ancho exc.
(m)</t>
  </si>
  <si>
    <t>Prof. exc.
(m)</t>
  </si>
  <si>
    <t>Cant.
uds</t>
  </si>
  <si>
    <t>Vol.unit.
(m³)</t>
  </si>
  <si>
    <t>Vol.TOTAL
(m³)</t>
  </si>
  <si>
    <t>V.U. (COP/m³)</t>
  </si>
  <si>
    <t>V.TOTAL
(COP)</t>
  </si>
  <si>
    <t>OBS.</t>
  </si>
  <si>
    <t>ZAP-T1 (45x45 cm ped.)</t>
  </si>
  <si>
    <t>NSR-10 C.5.3</t>
  </si>
  <si>
    <t>ZAP-T2 (47x47 cm ped.)</t>
  </si>
  <si>
    <t>ZAP-T3 (45x45 cm ped.)</t>
  </si>
  <si>
    <t>ZAP-T4 (47x47 cm ped.)</t>
  </si>
  <si>
    <t>ZAP-T5 (45x45 cm ped.)</t>
  </si>
  <si>
    <t>ZAP-T6 (35x40 cm ped.)</t>
  </si>
  <si>
    <t>SUBTOTAL EXCAVACIÓN MANUAL (m³ y COP)</t>
  </si>
  <si>
    <t>B. CARGUE Y BOTADA EN VOLQUETA — Factor esponjamiento 1.30</t>
  </si>
  <si>
    <t>Vol. banco
(m³)</t>
  </si>
  <si>
    <t>Fc. espon
(adim)</t>
  </si>
  <si>
    <t>Vol.suelto
(m³)</t>
  </si>
  <si>
    <t>V.TOTAL (COP)</t>
  </si>
  <si>
    <t>Cargue y botada material excavado</t>
  </si>
  <si>
    <t>~6 viajes volqueta 5m³</t>
  </si>
  <si>
    <t>C. SOLADO DE LIMPIEZA f'c=17.5MPa — e=5cm BAJO TODAS LAS ZAPATAS</t>
  </si>
  <si>
    <t>ZAPATA</t>
  </si>
  <si>
    <t>Largo
(m)</t>
  </si>
  <si>
    <t>Ancho
(m)</t>
  </si>
  <si>
    <t>e
(m)</t>
  </si>
  <si>
    <t>Área unit
(m²)</t>
  </si>
  <si>
    <t>Área total
(m²)</t>
  </si>
  <si>
    <t>Vol. sol.
(m³)</t>
  </si>
  <si>
    <t>V.U. (COP/m2)</t>
  </si>
  <si>
    <t>ZAP-T1 (2 uds)</t>
  </si>
  <si>
    <t>ZAP-T2 (2 uds)</t>
  </si>
  <si>
    <t>ZAP-T3 (1 ud)</t>
  </si>
  <si>
    <t>ZAP-T4 (1 ud)</t>
  </si>
  <si>
    <t>ZAP-T5 (1 ud)</t>
  </si>
  <si>
    <t>ZAP-T6 (1 ud)</t>
  </si>
  <si>
    <t>SUBTOTAL SOLADO f'c=17.5MPa</t>
  </si>
  <si>
    <t>TOTAL HOJA 1 — EXCAVACIONES + SOLADO</t>
  </si>
  <si>
    <t>TOTAL HOJA 1 — DEMOLICIONES CIMIENTOS</t>
  </si>
  <si>
    <t>D. DESGLOSE INSUMOS CONCRETO f'c=21MPa — Verificación de materiales</t>
  </si>
  <si>
    <t>INSUMO</t>
  </si>
  <si>
    <t>Vol. conc.
total (m³)</t>
  </si>
  <si>
    <t>Rendimiento
(unit/m³)</t>
  </si>
  <si>
    <t>Cant.
bruta</t>
  </si>
  <si>
    <t>Factor
seguridad</t>
  </si>
  <si>
    <t>Cant.
total</t>
  </si>
  <si>
    <t>Unidad</t>
  </si>
  <si>
    <t>P.unit
(COP)</t>
  </si>
  <si>
    <t>Presentación</t>
  </si>
  <si>
    <t>Cant.envases</t>
  </si>
  <si>
    <t>VOLUMEN TOTAL f'c=21MPa</t>
  </si>
  <si>
    <t>← Suma automática zapatas + pedestales + relleno PTE</t>
  </si>
  <si>
    <t>Cemento Portland (bulto 50kg)</t>
  </si>
  <si>
    <t>kg/m³</t>
  </si>
  <si>
    <t>bulto 50kg</t>
  </si>
  <si>
    <t>Arena río 3/4" (m³ suelto)</t>
  </si>
  <si>
    <t>m³/m³</t>
  </si>
  <si>
    <t>Triturado 3/4" (m³ suelto)</t>
  </si>
  <si>
    <t>Agua (litros)</t>
  </si>
  <si>
    <t>L/m³</t>
  </si>
  <si>
    <t>COSTO TOTAL INSUMOS CONCRETO f'c=21MPa</t>
  </si>
  <si>
    <t>HOJA 2: CONCRETO ESTRUCTURAL f'c=21MPa — ZAPATAS, PEDESTALES Y RELLENO PTE</t>
  </si>
  <si>
    <t>DOSIFICACIÓN CONCRETO f'c=21MPa  (A/C=0.50, cemento 350 kg/m³)</t>
  </si>
  <si>
    <t>Factor</t>
  </si>
  <si>
    <t>Und</t>
  </si>
  <si>
    <t>Cemento Portland</t>
  </si>
  <si>
    <t>kg/m³ conc.</t>
  </si>
  <si>
    <t>Arena río 3/4"</t>
  </si>
  <si>
    <t>m³ suelto/m³ conc.</t>
  </si>
  <si>
    <t>Triturado 3/4"</t>
  </si>
  <si>
    <t>Agua</t>
  </si>
  <si>
    <t>L/m³ conc.</t>
  </si>
  <si>
    <t>A. ZAPATAS AISLADAS f'c=21MPa</t>
  </si>
  <si>
    <t>Lado 1
(m)</t>
  </si>
  <si>
    <t>Lado 2
(m)</t>
  </si>
  <si>
    <t>Alto
(m)</t>
  </si>
  <si>
    <t>V.U.
(COP/m³)</t>
  </si>
  <si>
    <t>ZAP-T1 (45×45cm base, h=35cm)</t>
  </si>
  <si>
    <t>Planos EST REV00</t>
  </si>
  <si>
    <t>ZAP-T2 (47×47cm base, h=40cm)</t>
  </si>
  <si>
    <t>ZAP-T3 (45×45cm base, h=35cm)</t>
  </si>
  <si>
    <t>ZAP-T4 (47×47cm base, h=40cm)</t>
  </si>
  <si>
    <t>ZAP-T5 (45×45cm base, h=35cm)</t>
  </si>
  <si>
    <t>ZAP-T6 (35×40cm base, h=30cm)</t>
  </si>
  <si>
    <t>SUBTOTAL ZAPATAS f'c=21MPa</t>
  </si>
  <si>
    <t>B. PEDESTALES f'c=21MPa + FORMALETA METÁLICA</t>
  </si>
  <si>
    <t>PEDESTAL</t>
  </si>
  <si>
    <t>Perim.
(m)</t>
  </si>
  <si>
    <t>Form. (m²)</t>
  </si>
  <si>
    <t>PED-T1 (45×45cm, h=1.05m)</t>
  </si>
  <si>
    <t>PED-T2 (45×45cm, h=0.80m)</t>
  </si>
  <si>
    <t>PED-T3 (47×47cm, h=0.65m)</t>
  </si>
  <si>
    <t>PED-T4 (47×47cm, h=1.30m)</t>
  </si>
  <si>
    <t>PED-T5 (45×45cm, h=1.30m)</t>
  </si>
  <si>
    <t>PED-T6 (35×40cm, h=0.65m)</t>
  </si>
  <si>
    <t>SUBTOTAL PEDESTALES f'c=21MPa</t>
  </si>
  <si>
    <t xml:space="preserve">  ↳ Formaleta metálica pedestales (m² × V.U.)</t>
  </si>
  <si>
    <t>C. RELLENO CONCRETO f'c=21MPa INTERIOR COLUMNAS PTE (sin vacíos)</t>
  </si>
  <si>
    <t>COLUMNA</t>
  </si>
  <si>
    <t>PTE 200×200×5mm — relleno interior</t>
  </si>
  <si>
    <t>Concreto bombeado fluido</t>
  </si>
  <si>
    <t>PTE 220×220×7mm — relleno interior</t>
  </si>
  <si>
    <t>SUBTOTAL RELLENO COLUMNAS PTE</t>
  </si>
  <si>
    <t>TOTAL HOJA 2 — CONCRETO f'c=21MPa (materiales + m.o. + formaleta)</t>
  </si>
  <si>
    <t>HOJA 3: ACERO DE REFUERZO fy=420MPa — VARILLAS NTC 2289</t>
  </si>
  <si>
    <t>PESOS LINEALES VARILLAS (kg/m) — PARÁMETROS ENTRADA</t>
  </si>
  <si>
    <t>DIÁMETRO</t>
  </si>
  <si>
    <t>Peso
(kg/m)</t>
  </si>
  <si>
    <t>Long.
barra com. (m)</t>
  </si>
  <si>
    <t>#3 (3/8" = 9.52mm)</t>
  </si>
  <si>
    <t>#4 (1/2" = 12.70mm)</t>
  </si>
  <si>
    <t>#5 (5/8" = 15.88mm)</t>
  </si>
  <si>
    <t>A. REFUERZO INFERIOR ZAPATAS — ø#4 (1/2")</t>
  </si>
  <si>
    <t>ELEMENTO / BARRA</t>
  </si>
  <si>
    <t>N°
capas</t>
  </si>
  <si>
    <t>Barras
/capa</t>
  </si>
  <si>
    <t>Long.
barra (m)</t>
  </si>
  <si>
    <t>Cant.
elementos</t>
  </si>
  <si>
    <t>Long.total
(m)</t>
  </si>
  <si>
    <t>Peso
(kg)</t>
  </si>
  <si>
    <t>V.U.
(COP/kg)</t>
  </si>
  <si>
    <t>V.Total
(COP)</t>
  </si>
  <si>
    <t>Varillas 6m
suministro</t>
  </si>
  <si>
    <t>ZAP-T1 2capas — Barra long. ø#4 (L=0.95m)</t>
  </si>
  <si>
    <t>NSR-10 C.21</t>
  </si>
  <si>
    <t>ZAP-T1 2capas — Barra transv. ø#4 (L=0.95m)</t>
  </si>
  <si>
    <t>ZAP-T2 2capas — Barra long. ø#4 (L=0.97m)</t>
  </si>
  <si>
    <t>ZAP-T2 2capas — Barra transv. ø#4 (L=0.97m)</t>
  </si>
  <si>
    <t>ZAP-T3 1capa — Barra long. ø#4</t>
  </si>
  <si>
    <t>ZAP-T3 1capa — Barra transv. ø#4</t>
  </si>
  <si>
    <t>ZAP-T4 1capa — Barra long. ø#4</t>
  </si>
  <si>
    <t>ZAP-T4 1capa — Barra transv. ø#4</t>
  </si>
  <si>
    <t>ZAP-T5 1capa — Barra long. ø#4</t>
  </si>
  <si>
    <t>ZAP-T5 1capa — Barra transv. ø#4</t>
  </si>
  <si>
    <t>ZAP-T6 1capa — Barra long. ø#4</t>
  </si>
  <si>
    <t>ZAP-T6 1capa — Barra transv. ø#4</t>
  </si>
  <si>
    <t>SUBTOTAL ø#4 ZAPATAS</t>
  </si>
  <si>
    <t>B. ACERO LONGITUDINAL PEDESTALES — ø#5 y ø#4</t>
  </si>
  <si>
    <t>PEDESTAL / BARRA</t>
  </si>
  <si>
    <t>Diam.</t>
  </si>
  <si>
    <t>Cant.
barras</t>
  </si>
  <si>
    <t>Long.
(m)</t>
  </si>
  <si>
    <t>PED-T1 (45×45cm) — Long. #5 (h=1.05+ancl)</t>
  </si>
  <si>
    <t>#5</t>
  </si>
  <si>
    <t>PED-T2 (45×45cm) — Long. #5 (h=0.80+ancl)</t>
  </si>
  <si>
    <t>PED-T3 (47×47cm) — Long. #5 (h=0.65+ancl)</t>
  </si>
  <si>
    <t>PED-T4 (47×47cm) — Long. #5 (h=1.30+ancl)</t>
  </si>
  <si>
    <t>PED-T5 (45×45cm) — Long. #5 (h=1.30+ancl)</t>
  </si>
  <si>
    <t>PED-T6 (35×40cm) — Long. #4 (h=0.65+ancl)</t>
  </si>
  <si>
    <t>#4</t>
  </si>
  <si>
    <t>SUBTOTAL LONGITUDINAL PEDESTALES</t>
  </si>
  <si>
    <t>C. ESTRIBOS PEDESTALES — ø#3 (3/8")</t>
  </si>
  <si>
    <t>Perím.
estribo (m)</t>
  </si>
  <si>
    <t>Nro.
estribos</t>
  </si>
  <si>
    <t>Sep.
(m)</t>
  </si>
  <si>
    <t>PED-T1 2uds — Estr. #3 c/0.10m</t>
  </si>
  <si>
    <t>Sep. zona confinada 10cm</t>
  </si>
  <si>
    <t>PED-T2 2uds — Estr. #3 c/0.10m</t>
  </si>
  <si>
    <t>PED-T3 1ud  — Estr. #3 c/0.10m</t>
  </si>
  <si>
    <t>PED-T4 1ud  — Estr. #3 c/0.10m</t>
  </si>
  <si>
    <t>PED-T5 1ud  — Estr. #3 c/0.10m</t>
  </si>
  <si>
    <t>PED-T6 1ud  — Estr. #3 c/0.10m</t>
  </si>
  <si>
    <t>SUBTOTAL ESTRIBOS ø#3 PEDESTALES</t>
  </si>
  <si>
    <t>D. ALAMBRE NEGRO #18 — AMARRE DE REFUERZO</t>
  </si>
  <si>
    <t>Peso acero
total (kg)</t>
  </si>
  <si>
    <t>% alambre
(adim)</t>
  </si>
  <si>
    <t>Cant. kg</t>
  </si>
  <si>
    <t>Rollos 25kg
req.</t>
  </si>
  <si>
    <t>Cant.
suministro</t>
  </si>
  <si>
    <t>P.unit
(COP/rollo)</t>
  </si>
  <si>
    <t>V.Total (COP)</t>
  </si>
  <si>
    <t>Alambre negro #18 — 5% del peso total</t>
  </si>
  <si>
    <t>TOTAL HOJA 3 — ACERO DE REFUERZO</t>
  </si>
  <si>
    <t>TOTAL HOJA 3 — MANO DE OBRA ACERO DE REFUERZO</t>
  </si>
  <si>
    <t>HOJA 4: ESTRUCTURA METÁLICA — COLUMNAS PTE, VIGAS IPE, PERFIL ARMADO, ESCALERA, PLATINAS</t>
  </si>
  <si>
    <t>A. COLUMNAS PTE 200×200×5.0mm — ASTM A500 GR.C (fy=317MPa) — barras 6m</t>
  </si>
  <si>
    <t>Long.unit
(m)</t>
  </si>
  <si>
    <t>Peso lin.
(kg/m)</t>
  </si>
  <si>
    <t>Long.tot
(m)</t>
  </si>
  <si>
    <t>Peso calc.
(kg)</t>
  </si>
  <si>
    <t>Barras
6m req.</t>
  </si>
  <si>
    <t>%DESP</t>
  </si>
  <si>
    <t>Peso sum.
(kg)</t>
  </si>
  <si>
    <t>P.unit
(COP/kg)</t>
  </si>
  <si>
    <t>Col PTE 200×200×5mm — Eje 1A (h=3.90m)</t>
  </si>
  <si>
    <t>Col PTE 200×200×5mm — Eje 1B (h=3.90m)</t>
  </si>
  <si>
    <t>Col PTE 200×200×5mm — Eje 2A (h=3.90m)</t>
  </si>
  <si>
    <t>Col PTE 200×200×5mm — Eje 2B (h=3.90m)</t>
  </si>
  <si>
    <t>SUBTOTAL</t>
  </si>
  <si>
    <t>B. COLUMNAS PTE 220×220×7.0mm — ASTM A500 GR.C (fy=317MPa) — barras 6m</t>
  </si>
  <si>
    <t>Col PTE 220×220×7mm — Eje 3A (h=3.90m)</t>
  </si>
  <si>
    <t>Col PTE 220×220×7mm — Eje 3B (h=3.90m)</t>
  </si>
  <si>
    <t>C. VIGAS IPE270 (36.1 kg/m) — ASTM A572 GR.50 — barras 12m</t>
  </si>
  <si>
    <t>Barras
12m req.</t>
  </si>
  <si>
    <t>V-01 IPE270 Trans. eje A-B' tramo 1 (2 uds × 5.70m)</t>
  </si>
  <si>
    <t>V-03 IPE270 Trans. eje 2' tramo 3 (1 uds × 1,5m)</t>
  </si>
  <si>
    <t>V-02 IPE270 Trans. eje 1 y 2 tramo 3 (1 uds × 5.32m)</t>
  </si>
  <si>
    <t>V-02 IPE270 Trans. eje 1 y 2 tramo 3 (1 uds × 6,87m)</t>
  </si>
  <si>
    <t>V-04 IPE270 Trans. eje 1' tramo 3 (1 uds × 6,87m)</t>
  </si>
  <si>
    <t>D. VIGAS IPE300 (42.2 kg/m) — ASTM A572 GR.50 — barras 12m</t>
  </si>
  <si>
    <t>V-05 IPE300 Viga principal central eje B (1 ud × 5,7m)</t>
  </si>
  <si>
    <t>E. PERFIL ARMADO SOLDADO A572 GR.50 — 2 vigas principales 12.50m (fabricación taller)</t>
  </si>
  <si>
    <t>ALAS PERFIL (220 X 5/8")</t>
  </si>
  <si>
    <t>ALMA PERFIL (238,2 X 1/4")</t>
  </si>
  <si>
    <t>F. PHR CC 203×67×2.5mm (5.1 kg/m) — ASTM A-1011 GR.50 — ESCALERA — barras 6m</t>
  </si>
  <si>
    <t>Zanca izq. tramo 1 (c/placa emp.)</t>
  </si>
  <si>
    <t>Zanca der. tramo 1 (c/placa emp.)</t>
  </si>
  <si>
    <t>Zanca izq. tramo 2 (c/placa emp.)</t>
  </si>
  <si>
    <t>G. PLATINAS, PLACAS BASE Y RIGIDIZADORES — ASTM A572 GR.50</t>
  </si>
  <si>
    <t>Dim.
(mm×mm)</t>
  </si>
  <si>
    <t>e
(mm)</t>
  </si>
  <si>
    <t>Área unit.
(m²)</t>
  </si>
  <si>
    <t>Peso unit.
(kg/ud)</t>
  </si>
  <si>
    <t>Peso tot.
(kg)</t>
  </si>
  <si>
    <t>Placa base CX-1 PTE200 (350×350×15.875mm)</t>
  </si>
  <si>
    <t>350×350</t>
  </si>
  <si>
    <t>Placa base CX-2 PTE220 (370×370×15.875mm)</t>
  </si>
  <si>
    <t>370×370</t>
  </si>
  <si>
    <t>Placa base CX-3 escalera (300×300×12.7mm)</t>
  </si>
  <si>
    <t>300×300</t>
  </si>
  <si>
    <t>Placa base CX-4 descanso (250×250×9.525mm)</t>
  </si>
  <si>
    <t>250×250</t>
  </si>
  <si>
    <t>Rigidiz. CX-1 (150×150×6.35mm) 4 c/placa</t>
  </si>
  <si>
    <t>150×150</t>
  </si>
  <si>
    <t>Rigidiz. CX-2 (160×160×6.35mm) 4 c/placa</t>
  </si>
  <si>
    <t>160×160</t>
  </si>
  <si>
    <t>Platina conex. viga-col. CX-5 (250×150×10mm)</t>
  </si>
  <si>
    <t>250×150</t>
  </si>
  <si>
    <t>Platina conex. viga-col. CX-6 (300×150×10mm)</t>
  </si>
  <si>
    <t>300×150</t>
  </si>
  <si>
    <t>Platina ángulo CX-7 viga-viga (200×100×8mm)</t>
  </si>
  <si>
    <t>200×100</t>
  </si>
  <si>
    <t>Platina soporte peldaño esc. (700×220×6.35mm)</t>
  </si>
  <si>
    <t>700×220</t>
  </si>
  <si>
    <t>Platina descanso escal. (700×700×3.175mm)</t>
  </si>
  <si>
    <t>700×700</t>
  </si>
  <si>
    <t>SUBTOTAL PLATINAS Y PLACAS</t>
  </si>
  <si>
    <t>TOTAL HOJA 4 — ESTRUCTURA METÁLICA (materiales)</t>
  </si>
  <si>
    <t>TOTAL HOJA 4 — ESTRUCTURA METÁLICA PESO</t>
  </si>
  <si>
    <t>TOTAL HOJA 4 — MANO DE OBRA ESTRUCTURA METÁLICA</t>
  </si>
  <si>
    <t>HOJA 5: PERNOS DE ANCLAJE A193 GR.B7 + ESTRUCTURALES A325N (precio incl. tuercas+arandelas)</t>
  </si>
  <si>
    <t>PERNOS ANCLAJE ASTM A193 GR.B7 (fy=725MPa) + PERNOS A325N — precio unitario completo (c/tu.+aran.)</t>
  </si>
  <si>
    <t>DESCRIPCIÓN / CONEXIÓN</t>
  </si>
  <si>
    <t>Long.
(mm)</t>
  </si>
  <si>
    <t>Cant.
pernos</t>
  </si>
  <si>
    <t>P.unit completo
(COP/ud)</t>
  </si>
  <si>
    <t>Anclaje placa base CX-1 (4 pernos c/placa, 4 placas PTE200)</t>
  </si>
  <si>
    <t>ø5/8"</t>
  </si>
  <si>
    <t>ASTM A194/F436 accesorios</t>
  </si>
  <si>
    <t>Anclaje placa base CX-2 (4 pernos c/placa, 2 placas PTE220)</t>
  </si>
  <si>
    <t>Anclaje placa base CX-3 escalera (4 pernos c/placa, 2 placas)</t>
  </si>
  <si>
    <t>Anclaje placa base CX-4 descanso  (4 pernos c/placa, 2 placas)</t>
  </si>
  <si>
    <t>Conector viga-columna CX-5 (ø3/4")</t>
  </si>
  <si>
    <t>ø3/4"</t>
  </si>
  <si>
    <t>Conector viga-columna CX-6 (ø3/4")</t>
  </si>
  <si>
    <t>Conector viga-viga CX-7 (ø3/4")</t>
  </si>
  <si>
    <t>Soporte perlín CX-8 (ø5/8")</t>
  </si>
  <si>
    <t>Conex. madera-acero CX-MAD (ø1/2")</t>
  </si>
  <si>
    <t>ø1/2"</t>
  </si>
  <si>
    <t>Pernos estructurales A325N ø5/8" (viga-viga CX-9)</t>
  </si>
  <si>
    <t>Tirafondos galv. 1-1/4"×14" (pasos escalera madera)</t>
  </si>
  <si>
    <t>1-1/4"</t>
  </si>
  <si>
    <t>SUBTOTAL PERNOS Y ANCLAJES</t>
  </si>
  <si>
    <t>TOTAL HOJA 5 — PERNOS Y ANCLAJES</t>
  </si>
  <si>
    <t>HOJA 6: MADERA ESTRUCTURAL SAPÁN ES2 — NSR-10 TAB. G.2.2-1 (Fb=28.5MPa, E=18000MPa)</t>
  </si>
  <si>
    <t>A. VIGAS ENTREPISO D=16cm (ROLLIZAS CEPILLADAS) — SAPÁN ES2</t>
  </si>
  <si>
    <t>ZONA / DESCRIPCIÓN</t>
  </si>
  <si>
    <t>Diám.
(m)</t>
  </si>
  <si>
    <t>Vol.unit
(m³)</t>
  </si>
  <si>
    <t>Peso tot
(kg)</t>
  </si>
  <si>
    <t>Factor
merma</t>
  </si>
  <si>
    <t>Vol.sum
(m³)</t>
  </si>
  <si>
    <t>Zona A-B: vigas transv. D=16cm sep~44cm (L=5.32m)</t>
  </si>
  <si>
    <t>Zona B-C: vigas transv. D=16cm sep~70cm (L=6.87m)</t>
  </si>
  <si>
    <t>Vigas longitudinales borde (L=5.70m)</t>
  </si>
  <si>
    <t>SUBTOTAL VIGAS SAPÁN</t>
  </si>
  <si>
    <t>B. TABLONES ESCALERA (100×28×4cm) — PASOS Y DESCANSOS</t>
  </si>
  <si>
    <t>Cant.
piezas</t>
  </si>
  <si>
    <t>Espesor
(m)</t>
  </si>
  <si>
    <t>Pasos escalera (peldaños) — 100×28×4cm</t>
  </si>
  <si>
    <t>Tablones descanso intermedio — 100×28×4cm</t>
  </si>
  <si>
    <t>Forro lateral tablilla — 100×15×2.5cm</t>
  </si>
  <si>
    <t>SUBTOTAL TABLONES ESCALERA</t>
  </si>
  <si>
    <t>TOTAL HOJA 6 — MADERA SAPÁN ES2</t>
  </si>
  <si>
    <t>precio por m3</t>
  </si>
  <si>
    <t>Imprevistos 1%</t>
  </si>
  <si>
    <t>Enchape loseta 30×30cm con mortero gris (primer nivel)</t>
  </si>
  <si>
    <t>Tablones Sapán descansos escalera 100×100×4cm</t>
  </si>
  <si>
    <t>Loseta 30×30cm para enchape piso</t>
  </si>
  <si>
    <t>Guardaescobas loseta</t>
  </si>
  <si>
    <t>Perfil tubular PTE 200×200×5mmx6m ASTM A500 Gr.C</t>
  </si>
  <si>
    <t>Perfil tubular PTE 220×220×7mmx6m ASTM A500 Gr.C</t>
  </si>
  <si>
    <t>PHR C 203×67×2.5mmx6m A-1011 Gr.50 (escalera)</t>
  </si>
  <si>
    <t>Ángulo 1½"×3/16"x6m ASTM A572 Gr.50 (herraje madera)</t>
  </si>
  <si>
    <t>Perfil IPE300x6m ASTM A572 Gr.50</t>
  </si>
  <si>
    <t>Perfil IPE270x6m ASTM A572 Gr.50</t>
  </si>
  <si>
    <t>Viga rolliza Sapán Diametro=16cm cepillada x 1,66m</t>
  </si>
  <si>
    <t>Viga rolliza Sapán Diametro=16cm cepillada x 5,90 m</t>
  </si>
  <si>
    <t>Lamina de acero A572 Gr.50 1,2x2,4x5/8"</t>
  </si>
  <si>
    <t>Lamina de acero A572 Gr.50 1x2x1/4"</t>
  </si>
  <si>
    <t>Platina de 0,37x0,37x5/8"</t>
  </si>
  <si>
    <t>Platina de 0,32x0,32x1/2"</t>
  </si>
  <si>
    <t>Platina de 0,26x0,21x3/8"</t>
  </si>
  <si>
    <t>Platina de 0,70x0,22x1/4"</t>
  </si>
  <si>
    <t>Platina de 0,70x0,7x1/8"</t>
  </si>
  <si>
    <t>Platina de 0,283x0,289X0,08*0,02x1/8"</t>
  </si>
  <si>
    <t>Platina de 0,71x0,72X0,2*0,05x1/8"</t>
  </si>
  <si>
    <t>Platina Conexión 5 de 0,41x0,145x5/8"</t>
  </si>
  <si>
    <t>Platina Conexión 6 de 0,48x0,16x5/8"</t>
  </si>
  <si>
    <t>Platina Conexión 7 de 0,48x0,22x5/8"</t>
  </si>
  <si>
    <t>Platina Conexión 8 de 0,279x0,07x1/4"</t>
  </si>
  <si>
    <t>Platina Conexión 9 de 0,25x0,06x1/4"</t>
  </si>
  <si>
    <t>Platina Conexión 9 de 0,25x0,085x1/4"</t>
  </si>
  <si>
    <t>Platina Conexión 10 de 0,238x0,1x1/4"</t>
  </si>
  <si>
    <t>Platina Conexión 11 de 0,24x0,145x1/4"</t>
  </si>
  <si>
    <t>Platina Conexión 11 de 0,145x0,07x1/8"</t>
  </si>
  <si>
    <t>Platina Conexión 11 de 0,12x0,06x1/4"</t>
  </si>
  <si>
    <t>Platina Conexión 11 de 0,22x0,06*0,14x1/4"</t>
  </si>
  <si>
    <t>Platina Conexión 11 de 0,238x0,1x1/4"</t>
  </si>
  <si>
    <t>Platina Conexión 11 de 0,2x0,065x1/4"</t>
  </si>
  <si>
    <t>Ángulo 2½"×3/16"x6m ASTM A572 Gr.50 (herraje madera)</t>
  </si>
  <si>
    <t xml:space="preserve">varilla roscada 5/8 </t>
  </si>
  <si>
    <t>cant</t>
  </si>
  <si>
    <t>long</t>
  </si>
  <si>
    <t>No apoyos</t>
  </si>
  <si>
    <t>ml totales</t>
  </si>
  <si>
    <t>varilla roscada 1/2</t>
  </si>
  <si>
    <t>TUERCA ASTM A193 Grado B7 5/8"</t>
  </si>
  <si>
    <t>TUERCA ASTM A193 Grado B7 1/2"</t>
  </si>
  <si>
    <t>tuercas</t>
  </si>
  <si>
    <t>Varilla Roscada ASTM A193 Grado B7 1/2" x 1 Metro</t>
  </si>
  <si>
    <t>Varilla Roscada ASTM A193 Grado B7 5/8" x 1 Metro</t>
  </si>
  <si>
    <t>Varilla roscada A193 B7 ø3/4" x 1 Metro</t>
  </si>
  <si>
    <t>varilla roscada 3/4</t>
  </si>
  <si>
    <t>TUERCA ASTM A193 Grado B7 3/4"</t>
  </si>
  <si>
    <t>Perno A193 B7 ø5/8" x 1 1/2"</t>
  </si>
  <si>
    <t>Tornillo Hexagonal 1/2X1-1/2 Y Tuerca</t>
  </si>
  <si>
    <t xml:space="preserve">ACEROS ESTRUCTURALES </t>
  </si>
  <si>
    <t>PERNOS, ANCLAJES Y TORNILLERÍA</t>
  </si>
  <si>
    <t>Thinner</t>
  </si>
  <si>
    <t>Gal</t>
  </si>
  <si>
    <t>Anticorrosivo gris para estructura metalica</t>
  </si>
  <si>
    <t>Esmalte negro para estructura metalica</t>
  </si>
  <si>
    <t>─── PINTURAS ───</t>
  </si>
  <si>
    <t>UNIDAD DE  MEDIDA</t>
  </si>
  <si>
    <t xml:space="preserve">LISTA MAESTRA DE MATERIALES </t>
  </si>
  <si>
    <t>VALOR UNITARIO</t>
  </si>
  <si>
    <t>VALOR
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</si>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</sst>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0.0%"/>
    <numFmt numFmtId="165" formatCode="0.000"/>
    <numFmt numFmtId="166" formatCode="0.0"/>
    <numFmt numFmtId="167" formatCode="0.000000"/>
  </numFmts>
  <fonts count="32" x14ac:knownFonts="1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i/>
      <sz val="10"/>
      <color rgb="FFFFFFFF"/>
      <name val="Arial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8"/>
      <color rgb="FF595959"/>
      <name val="Arial"/>
      <family val="2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FF"/>
      <name val="Arial"/>
      <family val="2"/>
    </font>
    <font>
      <b/>
      <sz val="10"/>
      <color rgb="FF000000"/>
      <name val="Arial"/>
      <family val="2"/>
    </font>
    <font>
      <sz val="9"/>
      <color rgb="FF00800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D5E8D4"/>
      </patternFill>
    </fill>
    <fill>
      <patternFill patternType="solid">
        <fgColor rgb="FFFFF2CC"/>
      </patternFill>
    </fill>
    <fill>
      <patternFill patternType="solid">
        <fgColor rgb="FFC00000"/>
      </patternFill>
    </fill>
    <fill>
      <patternFill patternType="solid">
        <fgColor rgb="FF1E6140"/>
      </patternFill>
    </fill>
    <fill>
      <patternFill patternType="solid">
        <fgColor rgb="FFFFFF00"/>
      </patternFill>
    </fill>
    <fill>
      <patternFill patternType="solid">
        <fgColor rgb="FF1A5276"/>
      </patternFill>
    </fill>
    <fill>
      <patternFill patternType="solid">
        <fgColor rgb="FFF4B942"/>
      </patternFill>
    </fill>
    <fill>
      <patternFill patternType="solid">
        <fgColor rgb="FF145A32"/>
      </patternFill>
    </fill>
    <fill>
      <patternFill patternType="solid">
        <fgColor rgb="FF6E2F7A"/>
      </patternFill>
    </fill>
    <fill>
      <patternFill patternType="solid">
        <fgColor rgb="FF7D6608"/>
      </patternFill>
    </fill>
    <fill>
      <patternFill patternType="solid">
        <fgColor rgb="FF784212"/>
      </patternFill>
    </fill>
    <fill>
      <patternFill patternType="solid">
        <fgColor rgb="FF7B3900"/>
      </patternFill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99CCFF"/>
      </patternFill>
    </fill>
    <fill>
      <patternFill patternType="solid">
        <fgColor rgb="FFFFFFFF"/>
        <bgColor rgb="FFF2F2F2"/>
      </patternFill>
    </fill>
    <fill>
      <patternFill patternType="solid">
        <fgColor rgb="FFFFFF99"/>
        <bgColor rgb="FFFCE4D6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2F2F2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68">
    <xf numFmtId="0" fontId="0" fillId="0" borderId="0" xfId="0"/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3" fontId="5" fillId="8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3" fontId="3" fillId="9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3" fontId="12" fillId="13" borderId="1" xfId="0" applyNumberFormat="1" applyFont="1" applyFill="1" applyBorder="1" applyAlignment="1">
      <alignment horizontal="center" vertical="center" wrapText="1"/>
    </xf>
    <xf numFmtId="3" fontId="13" fillId="8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3" fontId="10" fillId="10" borderId="1" xfId="0" applyNumberFormat="1" applyFont="1" applyFill="1" applyBorder="1" applyAlignment="1">
      <alignment horizontal="center" vertical="center" wrapText="1"/>
    </xf>
    <xf numFmtId="3" fontId="10" fillId="18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3" fontId="11" fillId="7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3" fillId="21" borderId="5" xfId="0" applyFont="1" applyFill="1" applyBorder="1" applyAlignment="1">
      <alignment horizontal="center" vertical="center" wrapText="1"/>
    </xf>
    <xf numFmtId="0" fontId="23" fillId="22" borderId="5" xfId="0" applyFont="1" applyFill="1" applyBorder="1" applyAlignment="1">
      <alignment horizontal="center" vertical="center"/>
    </xf>
    <xf numFmtId="0" fontId="24" fillId="22" borderId="5" xfId="0" applyFont="1" applyFill="1" applyBorder="1" applyAlignment="1">
      <alignment horizontal="left" vertical="center" wrapText="1"/>
    </xf>
    <xf numFmtId="2" fontId="25" fillId="22" borderId="5" xfId="0" applyNumberFormat="1" applyFont="1" applyFill="1" applyBorder="1" applyAlignment="1">
      <alignment horizontal="center" vertical="center"/>
    </xf>
    <xf numFmtId="0" fontId="25" fillId="22" borderId="5" xfId="0" applyFont="1" applyFill="1" applyBorder="1" applyAlignment="1">
      <alignment horizontal="center" vertical="center"/>
    </xf>
    <xf numFmtId="165" fontId="24" fillId="22" borderId="5" xfId="0" applyNumberFormat="1" applyFont="1" applyFill="1" applyBorder="1" applyAlignment="1">
      <alignment horizontal="center" vertical="center"/>
    </xf>
    <xf numFmtId="3" fontId="25" fillId="23" borderId="5" xfId="0" applyNumberFormat="1" applyFont="1" applyFill="1" applyBorder="1" applyAlignment="1">
      <alignment horizontal="center" vertical="center"/>
    </xf>
    <xf numFmtId="3" fontId="24" fillId="22" borderId="5" xfId="0" applyNumberFormat="1" applyFont="1" applyFill="1" applyBorder="1" applyAlignment="1">
      <alignment horizontal="center" vertical="center"/>
    </xf>
    <xf numFmtId="0" fontId="24" fillId="22" borderId="5" xfId="0" applyFont="1" applyFill="1" applyBorder="1" applyAlignment="1">
      <alignment horizontal="left" vertical="center"/>
    </xf>
    <xf numFmtId="0" fontId="24" fillId="22" borderId="5" xfId="0" applyFont="1" applyFill="1" applyBorder="1" applyAlignment="1">
      <alignment horizontal="center" vertical="center"/>
    </xf>
    <xf numFmtId="0" fontId="23" fillId="24" borderId="5" xfId="0" applyFont="1" applyFill="1" applyBorder="1" applyAlignment="1">
      <alignment horizontal="center" vertical="center"/>
    </xf>
    <xf numFmtId="0" fontId="24" fillId="24" borderId="5" xfId="0" applyFont="1" applyFill="1" applyBorder="1" applyAlignment="1">
      <alignment horizontal="left" vertical="center" wrapText="1"/>
    </xf>
    <xf numFmtId="2" fontId="25" fillId="24" borderId="5" xfId="0" applyNumberFormat="1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center" vertical="center"/>
    </xf>
    <xf numFmtId="165" fontId="24" fillId="24" borderId="5" xfId="0" applyNumberFormat="1" applyFont="1" applyFill="1" applyBorder="1" applyAlignment="1">
      <alignment horizontal="center" vertical="center"/>
    </xf>
    <xf numFmtId="3" fontId="24" fillId="24" borderId="5" xfId="0" applyNumberFormat="1" applyFont="1" applyFill="1" applyBorder="1" applyAlignment="1">
      <alignment horizontal="center" vertical="center"/>
    </xf>
    <xf numFmtId="0" fontId="24" fillId="24" borderId="5" xfId="0" applyFont="1" applyFill="1" applyBorder="1" applyAlignment="1">
      <alignment horizontal="left" vertical="center"/>
    </xf>
    <xf numFmtId="0" fontId="24" fillId="24" borderId="5" xfId="0" applyFont="1" applyFill="1" applyBorder="1" applyAlignment="1">
      <alignment horizontal="center" vertical="center"/>
    </xf>
    <xf numFmtId="165" fontId="26" fillId="25" borderId="5" xfId="0" applyNumberFormat="1" applyFont="1" applyFill="1" applyBorder="1" applyAlignment="1">
      <alignment horizontal="center" vertical="center"/>
    </xf>
    <xf numFmtId="0" fontId="24" fillId="25" borderId="5" xfId="0" applyFont="1" applyFill="1" applyBorder="1" applyAlignment="1">
      <alignment horizontal="center" vertical="center"/>
    </xf>
    <xf numFmtId="3" fontId="26" fillId="25" borderId="5" xfId="0" applyNumberFormat="1" applyFont="1" applyFill="1" applyBorder="1" applyAlignment="1">
      <alignment horizontal="center" vertical="center"/>
    </xf>
    <xf numFmtId="0" fontId="0" fillId="25" borderId="5" xfId="0" applyFill="1" applyBorder="1" applyAlignment="1">
      <alignment horizontal="center" vertical="center"/>
    </xf>
    <xf numFmtId="165" fontId="27" fillId="24" borderId="5" xfId="0" applyNumberFormat="1" applyFont="1" applyFill="1" applyBorder="1" applyAlignment="1">
      <alignment horizontal="center" vertical="center"/>
    </xf>
    <xf numFmtId="2" fontId="25" fillId="23" borderId="5" xfId="0" applyNumberFormat="1" applyFont="1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165" fontId="25" fillId="23" borderId="5" xfId="0" applyNumberFormat="1" applyFont="1" applyFill="1" applyBorder="1" applyAlignment="1">
      <alignment horizontal="center" vertical="center"/>
    </xf>
    <xf numFmtId="2" fontId="24" fillId="22" borderId="5" xfId="0" applyNumberFormat="1" applyFont="1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2" fontId="24" fillId="24" borderId="5" xfId="0" applyNumberFormat="1" applyFont="1" applyFill="1" applyBorder="1" applyAlignment="1">
      <alignment horizontal="center" vertical="center"/>
    </xf>
    <xf numFmtId="2" fontId="26" fillId="25" borderId="5" xfId="0" applyNumberFormat="1" applyFont="1" applyFill="1" applyBorder="1" applyAlignment="1">
      <alignment horizontal="center" vertical="center"/>
    </xf>
    <xf numFmtId="3" fontId="29" fillId="26" borderId="6" xfId="0" applyNumberFormat="1" applyFont="1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30" fillId="22" borderId="5" xfId="0" applyFont="1" applyFill="1" applyBorder="1" applyAlignment="1">
      <alignment horizontal="left" vertical="center"/>
    </xf>
    <xf numFmtId="165" fontId="26" fillId="23" borderId="5" xfId="0" applyNumberFormat="1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left" vertical="center"/>
    </xf>
    <xf numFmtId="4" fontId="27" fillId="24" borderId="5" xfId="0" applyNumberFormat="1" applyFont="1" applyFill="1" applyBorder="1" applyAlignment="1">
      <alignment horizontal="center" vertical="center"/>
    </xf>
    <xf numFmtId="4" fontId="24" fillId="24" borderId="5" xfId="0" applyNumberFormat="1" applyFont="1" applyFill="1" applyBorder="1" applyAlignment="1">
      <alignment horizontal="center" vertical="center"/>
    </xf>
    <xf numFmtId="3" fontId="27" fillId="24" borderId="5" xfId="0" applyNumberFormat="1" applyFont="1" applyFill="1" applyBorder="1" applyAlignment="1">
      <alignment horizontal="center" vertical="center"/>
    </xf>
    <xf numFmtId="1" fontId="24" fillId="24" borderId="5" xfId="0" applyNumberFormat="1" applyFont="1" applyFill="1" applyBorder="1" applyAlignment="1">
      <alignment horizontal="center" vertical="center"/>
    </xf>
    <xf numFmtId="3" fontId="25" fillId="24" borderId="5" xfId="0" applyNumberFormat="1" applyFont="1" applyFill="1" applyBorder="1" applyAlignment="1">
      <alignment horizontal="center" vertical="center"/>
    </xf>
    <xf numFmtId="0" fontId="25" fillId="22" borderId="5" xfId="0" applyFont="1" applyFill="1" applyBorder="1" applyAlignment="1">
      <alignment horizontal="left" vertical="center"/>
    </xf>
    <xf numFmtId="4" fontId="25" fillId="23" borderId="5" xfId="0" applyNumberFormat="1" applyFont="1" applyFill="1" applyBorder="1" applyAlignment="1">
      <alignment horizontal="center" vertical="center"/>
    </xf>
    <xf numFmtId="1" fontId="25" fillId="23" borderId="5" xfId="0" applyNumberFormat="1" applyFont="1" applyFill="1" applyBorder="1" applyAlignment="1">
      <alignment horizontal="center" vertical="center"/>
    </xf>
    <xf numFmtId="4" fontId="24" fillId="22" borderId="5" xfId="0" applyNumberFormat="1" applyFont="1" applyFill="1" applyBorder="1" applyAlignment="1">
      <alignment horizontal="center" vertical="center"/>
    </xf>
    <xf numFmtId="3" fontId="27" fillId="22" borderId="5" xfId="0" applyNumberFormat="1" applyFont="1" applyFill="1" applyBorder="1" applyAlignment="1">
      <alignment horizontal="center" vertical="center"/>
    </xf>
    <xf numFmtId="1" fontId="24" fillId="22" borderId="5" xfId="0" applyNumberFormat="1" applyFont="1" applyFill="1" applyBorder="1" applyAlignment="1">
      <alignment horizontal="center" vertical="center"/>
    </xf>
    <xf numFmtId="4" fontId="26" fillId="25" borderId="5" xfId="0" applyNumberFormat="1" applyFont="1" applyFill="1" applyBorder="1" applyAlignment="1">
      <alignment horizontal="center" vertical="center"/>
    </xf>
    <xf numFmtId="1" fontId="26" fillId="25" borderId="5" xfId="0" applyNumberFormat="1" applyFont="1" applyFill="1" applyBorder="1" applyAlignment="1">
      <alignment horizontal="center" vertical="center"/>
    </xf>
    <xf numFmtId="4" fontId="27" fillId="25" borderId="5" xfId="0" applyNumberFormat="1" applyFont="1" applyFill="1" applyBorder="1" applyAlignment="1">
      <alignment horizontal="center" vertical="center"/>
    </xf>
    <xf numFmtId="10" fontId="25" fillId="23" borderId="5" xfId="0" applyNumberFormat="1" applyFont="1" applyFill="1" applyBorder="1" applyAlignment="1">
      <alignment horizontal="center" vertical="center"/>
    </xf>
    <xf numFmtId="166" fontId="24" fillId="22" borderId="5" xfId="0" applyNumberFormat="1" applyFont="1" applyFill="1" applyBorder="1" applyAlignment="1">
      <alignment horizontal="center" vertical="center"/>
    </xf>
    <xf numFmtId="2" fontId="24" fillId="25" borderId="5" xfId="0" applyNumberFormat="1" applyFont="1" applyFill="1" applyBorder="1" applyAlignment="1">
      <alignment horizontal="center" vertical="center"/>
    </xf>
    <xf numFmtId="165" fontId="0" fillId="0" borderId="0" xfId="0" applyNumberFormat="1"/>
    <xf numFmtId="167" fontId="25" fillId="22" borderId="5" xfId="0" applyNumberFormat="1" applyFont="1" applyFill="1" applyBorder="1" applyAlignment="1">
      <alignment horizontal="center" vertical="center"/>
    </xf>
    <xf numFmtId="167" fontId="25" fillId="24" borderId="5" xfId="0" applyNumberFormat="1" applyFont="1" applyFill="1" applyBorder="1" applyAlignment="1">
      <alignment horizontal="center" vertical="center"/>
    </xf>
    <xf numFmtId="3" fontId="27" fillId="0" borderId="5" xfId="0" applyNumberFormat="1" applyFont="1" applyBorder="1"/>
    <xf numFmtId="0" fontId="26" fillId="25" borderId="5" xfId="0" applyFont="1" applyFill="1" applyBorder="1" applyAlignment="1">
      <alignment vertical="center"/>
    </xf>
    <xf numFmtId="4" fontId="29" fillId="26" borderId="6" xfId="0" applyNumberFormat="1" applyFont="1" applyFill="1" applyBorder="1" applyAlignment="1">
      <alignment horizontal="center" vertical="center"/>
    </xf>
    <xf numFmtId="44" fontId="4" fillId="8" borderId="1" xfId="1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31" fillId="6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3" fontId="0" fillId="0" borderId="0" xfId="0" applyNumberFormat="1"/>
    <xf numFmtId="44" fontId="4" fillId="6" borderId="1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4" fontId="5" fillId="6" borderId="6" xfId="1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0" borderId="0" xfId="0"/>
    <xf numFmtId="0" fontId="5" fillId="7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9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0" fillId="16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8" fillId="18" borderId="0" xfId="0" applyFont="1" applyFill="1" applyAlignment="1">
      <alignment horizontal="center"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0" fillId="18" borderId="1" xfId="0" applyFont="1" applyFill="1" applyBorder="1" applyAlignment="1">
      <alignment horizontal="left" vertical="center" wrapText="1"/>
    </xf>
    <xf numFmtId="0" fontId="16" fillId="13" borderId="1" xfId="0" applyFont="1" applyFill="1" applyBorder="1" applyAlignment="1">
      <alignment horizontal="left" vertical="center" wrapText="1"/>
    </xf>
    <xf numFmtId="0" fontId="17" fillId="15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26" fillId="25" borderId="5" xfId="0" applyFont="1" applyFill="1" applyBorder="1" applyAlignment="1">
      <alignment horizontal="right" vertical="center"/>
    </xf>
    <xf numFmtId="0" fontId="21" fillId="19" borderId="4" xfId="0" applyFont="1" applyFill="1" applyBorder="1" applyAlignment="1">
      <alignment horizontal="center" vertical="center"/>
    </xf>
    <xf numFmtId="0" fontId="22" fillId="20" borderId="4" xfId="0" applyFont="1" applyFill="1" applyBorder="1" applyAlignment="1">
      <alignment horizontal="center" vertical="center"/>
    </xf>
    <xf numFmtId="0" fontId="22" fillId="20" borderId="4" xfId="0" applyFont="1" applyFill="1" applyBorder="1" applyAlignment="1">
      <alignment horizontal="left" vertical="center"/>
    </xf>
    <xf numFmtId="0" fontId="28" fillId="19" borderId="6" xfId="0" applyFont="1" applyFill="1" applyBorder="1" applyAlignment="1">
      <alignment horizontal="right" vertical="center"/>
    </xf>
    <xf numFmtId="0" fontId="27" fillId="23" borderId="5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TRO%20PROYECTOS\PROYECTOS%20ING%20PAULA%20LINKEDIN\CASA%20DE%20LA%20CULTURA%20TONA\presupuesto_tona_v4.xlsx" TargetMode="External"/><Relationship Id="rId1" Type="http://schemas.openxmlformats.org/officeDocument/2006/relationships/externalLinkPath" Target="file:///D:\OTRO%20PROYECTOS\PROYECTOS%20ING%20PAULA%20LINKEDIN\CASA%20DE%20LA%20CULTURA%20TONA\presupuesto_tona_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_EJECUTIVO"/>
      <sheetName val="Hoja1"/>
      <sheetName val="PARAMETROS"/>
      <sheetName val="1_EXCAV_SOLADO"/>
      <sheetName val="2_CONCRETO_f21"/>
      <sheetName val="3_ACERO_REFUERZO"/>
      <sheetName val="4_ESTRUCTURA_METALICA"/>
      <sheetName val="5_PERNOS_ANCLAJES"/>
      <sheetName val="6_MADERA_ESTRUCTURAL"/>
      <sheetName val="7_EQUIPOS_MO_TRANSP"/>
    </sheetNames>
    <sheetDataSet>
      <sheetData sheetId="0"/>
      <sheetData sheetId="1"/>
      <sheetData sheetId="2">
        <row r="5">
          <cell r="D5">
            <v>7800</v>
          </cell>
        </row>
        <row r="8">
          <cell r="D8">
            <v>8500</v>
          </cell>
        </row>
        <row r="9">
          <cell r="D9">
            <v>6800</v>
          </cell>
        </row>
        <row r="11">
          <cell r="D11">
            <v>4998</v>
          </cell>
        </row>
        <row r="13">
          <cell r="D13">
            <v>35200</v>
          </cell>
        </row>
        <row r="14">
          <cell r="D14">
            <v>75000</v>
          </cell>
        </row>
        <row r="15">
          <cell r="D15">
            <v>95000</v>
          </cell>
        </row>
      </sheetData>
      <sheetData sheetId="3">
        <row r="5">
          <cell r="C5">
            <v>0.7</v>
          </cell>
          <cell r="D5">
            <v>0.7</v>
          </cell>
        </row>
        <row r="6">
          <cell r="C6">
            <v>1.5</v>
          </cell>
          <cell r="D6">
            <v>1.35</v>
          </cell>
        </row>
        <row r="7">
          <cell r="C7">
            <v>1</v>
          </cell>
          <cell r="D7">
            <v>0.85</v>
          </cell>
        </row>
        <row r="8">
          <cell r="C8">
            <v>1.1499999999999999</v>
          </cell>
          <cell r="D8">
            <v>1</v>
          </cell>
        </row>
        <row r="9">
          <cell r="C9">
            <v>0.95</v>
          </cell>
          <cell r="D9">
            <v>0.7</v>
          </cell>
        </row>
        <row r="10">
          <cell r="C10">
            <v>0.75</v>
          </cell>
          <cell r="D10">
            <v>0.6</v>
          </cell>
        </row>
      </sheetData>
      <sheetData sheetId="4">
        <row r="40">
          <cell r="H40">
            <v>704</v>
          </cell>
        </row>
        <row r="41">
          <cell r="H41">
            <v>75000</v>
          </cell>
        </row>
        <row r="42">
          <cell r="H42">
            <v>95000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workbookViewId="0">
      <selection activeCell="D26" sqref="D26:E30"/>
    </sheetView>
  </sheetViews>
  <sheetFormatPr baseColWidth="10" defaultColWidth="9.1796875" defaultRowHeight="14.5" x14ac:dyDescent="0.35"/>
  <cols>
    <col min="1" max="1" width="28.453125" customWidth="1"/>
    <col min="2" max="2" width="42" customWidth="1"/>
    <col min="3" max="3" width="22" customWidth="1"/>
    <col min="4" max="4" width="20" customWidth="1"/>
    <col min="5" max="5" width="12" customWidth="1"/>
  </cols>
  <sheetData>
    <row r="1" spans="1:5" x14ac:dyDescent="0.35">
      <c r="A1" s="132" t="s">
        <v>0</v>
      </c>
      <c r="B1" s="126"/>
      <c r="C1" s="126"/>
      <c r="D1" s="126"/>
      <c r="E1" s="126"/>
    </row>
    <row r="2" spans="1:5" x14ac:dyDescent="0.35">
      <c r="A2" s="134" t="s">
        <v>1</v>
      </c>
      <c r="B2" s="126"/>
      <c r="C2" s="126"/>
      <c r="D2" s="126"/>
      <c r="E2" s="126"/>
    </row>
    <row r="3" spans="1:5" x14ac:dyDescent="0.35">
      <c r="A3" s="135" t="s">
        <v>2</v>
      </c>
      <c r="B3" s="126"/>
      <c r="C3" s="126"/>
      <c r="D3" s="126"/>
      <c r="E3" s="126"/>
    </row>
    <row r="4" spans="1:5" x14ac:dyDescent="0.35">
      <c r="A4" s="1"/>
      <c r="B4" s="2" t="s">
        <v>3</v>
      </c>
      <c r="C4" s="128" t="s">
        <v>4</v>
      </c>
      <c r="D4" s="129"/>
      <c r="E4" s="130"/>
    </row>
    <row r="5" spans="1:5" x14ac:dyDescent="0.35">
      <c r="A5" s="1"/>
      <c r="B5" s="2" t="s">
        <v>5</v>
      </c>
      <c r="C5" s="128" t="s">
        <v>6</v>
      </c>
      <c r="D5" s="129"/>
      <c r="E5" s="130"/>
    </row>
    <row r="6" spans="1:5" x14ac:dyDescent="0.35">
      <c r="A6" s="1"/>
      <c r="B6" s="2" t="s">
        <v>7</v>
      </c>
      <c r="C6" s="128" t="s">
        <v>8</v>
      </c>
      <c r="D6" s="129"/>
      <c r="E6" s="130"/>
    </row>
    <row r="7" spans="1:5" x14ac:dyDescent="0.35">
      <c r="A7" s="1"/>
      <c r="B7" s="2" t="s">
        <v>9</v>
      </c>
      <c r="C7" s="128" t="s">
        <v>10</v>
      </c>
      <c r="D7" s="129"/>
      <c r="E7" s="130"/>
    </row>
    <row r="8" spans="1:5" x14ac:dyDescent="0.35">
      <c r="A8" s="1"/>
      <c r="B8" s="2" t="s">
        <v>11</v>
      </c>
      <c r="C8" s="128" t="s">
        <v>12</v>
      </c>
      <c r="D8" s="129"/>
      <c r="E8" s="130"/>
    </row>
    <row r="9" spans="1:5" x14ac:dyDescent="0.35">
      <c r="A9" s="1"/>
      <c r="B9" s="2" t="s">
        <v>13</v>
      </c>
      <c r="C9" s="128" t="s">
        <v>14</v>
      </c>
      <c r="D9" s="129"/>
      <c r="E9" s="130"/>
    </row>
    <row r="10" spans="1:5" x14ac:dyDescent="0.35">
      <c r="A10" s="1"/>
      <c r="B10" s="2" t="s">
        <v>15</v>
      </c>
      <c r="C10" s="128" t="s">
        <v>16</v>
      </c>
      <c r="D10" s="129"/>
      <c r="E10" s="130"/>
    </row>
    <row r="12" spans="1:5" x14ac:dyDescent="0.35">
      <c r="A12" s="136" t="s">
        <v>17</v>
      </c>
      <c r="B12" s="126"/>
      <c r="C12" s="126"/>
      <c r="D12" s="126"/>
      <c r="E12" s="126"/>
    </row>
    <row r="13" spans="1:5" x14ac:dyDescent="0.35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22</v>
      </c>
    </row>
    <row r="14" spans="1:5" x14ac:dyDescent="0.35">
      <c r="A14" s="4">
        <v>1</v>
      </c>
      <c r="B14" s="137" t="s">
        <v>23</v>
      </c>
      <c r="C14" s="4" t="s">
        <v>24</v>
      </c>
      <c r="D14" s="5">
        <f>+PRESUPUESTO_GENERAL!J11</f>
        <v>10083525</v>
      </c>
      <c r="E14" s="6">
        <f t="shared" ref="E14:E19" si="0">+D14/$D$22</f>
        <v>9.9294740142277294E-2</v>
      </c>
    </row>
    <row r="15" spans="1:5" x14ac:dyDescent="0.35">
      <c r="A15" s="7">
        <v>2</v>
      </c>
      <c r="B15" s="127" t="s">
        <v>25</v>
      </c>
      <c r="C15" s="7" t="s">
        <v>24</v>
      </c>
      <c r="D15" s="8">
        <f>+PRESUPUESTO_GENERAL!J21</f>
        <v>8638096.0625919998</v>
      </c>
      <c r="E15" s="9">
        <f t="shared" si="0"/>
        <v>8.5061276077473033E-2</v>
      </c>
    </row>
    <row r="16" spans="1:5" x14ac:dyDescent="0.35">
      <c r="A16" s="4">
        <v>3</v>
      </c>
      <c r="B16" s="137" t="s">
        <v>26</v>
      </c>
      <c r="C16" s="4" t="s">
        <v>24</v>
      </c>
      <c r="D16" s="5">
        <f>+PRESUPUESTO_GENERAL!J31</f>
        <v>65759604.306079641</v>
      </c>
      <c r="E16" s="6">
        <f t="shared" si="0"/>
        <v>0.64754962390941229</v>
      </c>
    </row>
    <row r="17" spans="1:5" x14ac:dyDescent="0.35">
      <c r="A17" s="7">
        <v>4</v>
      </c>
      <c r="B17" s="127" t="s">
        <v>27</v>
      </c>
      <c r="C17" s="7" t="s">
        <v>24</v>
      </c>
      <c r="D17" s="8">
        <f>+PRESUPUESTO_GENERAL!J37</f>
        <v>1983766.3375000001</v>
      </c>
      <c r="E17" s="9">
        <f t="shared" si="0"/>
        <v>1.9534593605416723E-2</v>
      </c>
    </row>
    <row r="18" spans="1:5" x14ac:dyDescent="0.35">
      <c r="A18" s="4">
        <v>5</v>
      </c>
      <c r="B18" s="137" t="s">
        <v>28</v>
      </c>
      <c r="C18" s="4" t="s">
        <v>24</v>
      </c>
      <c r="D18" s="5">
        <f>+PRESUPUESTO_GENERAL!J42</f>
        <v>8280000</v>
      </c>
      <c r="E18" s="6">
        <f t="shared" si="0"/>
        <v>8.1535023553574365E-2</v>
      </c>
    </row>
    <row r="19" spans="1:5" x14ac:dyDescent="0.35">
      <c r="A19" s="7">
        <v>6</v>
      </c>
      <c r="B19" s="127" t="s">
        <v>29</v>
      </c>
      <c r="C19" s="7" t="s">
        <v>24</v>
      </c>
      <c r="D19" s="8">
        <f>+PRESUPUESTO_GENERAL!J49</f>
        <v>5801000</v>
      </c>
      <c r="E19" s="9">
        <f t="shared" si="0"/>
        <v>5.7123752612836337E-2</v>
      </c>
    </row>
    <row r="20" spans="1:5" x14ac:dyDescent="0.35">
      <c r="A20" s="10"/>
      <c r="B20" s="141" t="s">
        <v>30</v>
      </c>
      <c r="C20" s="126"/>
      <c r="D20" s="11">
        <f>+SUM(D14:D19)</f>
        <v>100545991.70617165</v>
      </c>
      <c r="E20" s="12">
        <f>+SUM(E14:E19)</f>
        <v>0.99009900990099009</v>
      </c>
    </row>
    <row r="21" spans="1:5" x14ac:dyDescent="0.35">
      <c r="A21" s="13"/>
      <c r="B21" s="133" t="s">
        <v>617</v>
      </c>
      <c r="C21" s="126"/>
      <c r="D21" s="14">
        <f>+D20*E21</f>
        <v>1005459.9170617164</v>
      </c>
      <c r="E21" s="15">
        <v>0.01</v>
      </c>
    </row>
    <row r="22" spans="1:5" ht="15.5" x14ac:dyDescent="0.35">
      <c r="A22" s="16"/>
      <c r="B22" s="131" t="s">
        <v>32</v>
      </c>
      <c r="C22" s="130"/>
      <c r="D22" s="17">
        <f>+SUM(D20:D21)</f>
        <v>101551451.62323336</v>
      </c>
      <c r="E22" s="16"/>
    </row>
    <row r="24" spans="1:5" x14ac:dyDescent="0.35">
      <c r="A24" s="125" t="s">
        <v>33</v>
      </c>
      <c r="B24" s="126"/>
      <c r="C24" s="126"/>
      <c r="D24" s="126"/>
      <c r="E24" s="126"/>
    </row>
    <row r="25" spans="1:5" x14ac:dyDescent="0.35">
      <c r="A25" s="3" t="s">
        <v>34</v>
      </c>
      <c r="B25" s="3" t="s">
        <v>20</v>
      </c>
      <c r="C25" s="3" t="s">
        <v>35</v>
      </c>
      <c r="D25" s="140" t="s">
        <v>36</v>
      </c>
      <c r="E25" s="130"/>
    </row>
    <row r="26" spans="1:5" x14ac:dyDescent="0.35">
      <c r="A26" s="1" t="s">
        <v>37</v>
      </c>
      <c r="B26" s="18" t="s">
        <v>38</v>
      </c>
      <c r="C26" s="19">
        <f>+RESUMEN_COMPONENTES!B9</f>
        <v>52486894.985696003</v>
      </c>
      <c r="D26" s="138">
        <f>+C26/$D$22</f>
        <v>0.51685026798462652</v>
      </c>
      <c r="E26" s="130"/>
    </row>
    <row r="27" spans="1:5" ht="25" x14ac:dyDescent="0.35">
      <c r="A27" s="1" t="s">
        <v>39</v>
      </c>
      <c r="B27" s="18" t="s">
        <v>40</v>
      </c>
      <c r="C27" s="19">
        <f>+RESUMEN_COMPONENTES!C9</f>
        <v>32991581.63080062</v>
      </c>
      <c r="D27" s="138">
        <f>+C27/$D$22</f>
        <v>0.32487552963007243</v>
      </c>
      <c r="E27" s="130"/>
    </row>
    <row r="28" spans="1:5" x14ac:dyDescent="0.35">
      <c r="A28" s="1" t="s">
        <v>41</v>
      </c>
      <c r="B28" s="18" t="s">
        <v>40</v>
      </c>
      <c r="C28" s="19">
        <f>+RESUMEN_COMPONENTES!D9</f>
        <v>11012408.34410502</v>
      </c>
      <c r="D28" s="138">
        <f>+C28/$D$22</f>
        <v>0.10844166349253402</v>
      </c>
      <c r="E28" s="130"/>
    </row>
    <row r="29" spans="1:5" x14ac:dyDescent="0.35">
      <c r="A29" s="1" t="s">
        <v>42</v>
      </c>
      <c r="B29" s="18" t="s">
        <v>40</v>
      </c>
      <c r="C29" s="19">
        <f>+RESUMEN_COMPONENTES!E9</f>
        <v>4055106.7455699998</v>
      </c>
      <c r="D29" s="138">
        <f>+C29/$D$22</f>
        <v>3.993154879375703E-2</v>
      </c>
      <c r="E29" s="130"/>
    </row>
    <row r="30" spans="1:5" x14ac:dyDescent="0.35">
      <c r="A30" s="1" t="s">
        <v>31</v>
      </c>
      <c r="B30" s="18" t="s">
        <v>43</v>
      </c>
      <c r="C30" s="19">
        <f>+RESUMEN_COMPONENTES!F10</f>
        <v>1005459.9170617164</v>
      </c>
      <c r="D30" s="138">
        <f>+C30/$D$22</f>
        <v>9.9009900990099011E-3</v>
      </c>
      <c r="E30" s="130"/>
    </row>
    <row r="32" spans="1:5" x14ac:dyDescent="0.35">
      <c r="A32" s="139" t="s">
        <v>44</v>
      </c>
      <c r="B32" s="126"/>
      <c r="C32" s="126"/>
      <c r="D32" s="126"/>
      <c r="E32" s="126"/>
    </row>
  </sheetData>
  <mergeCells count="28">
    <mergeCell ref="D28:E28"/>
    <mergeCell ref="A32:E32"/>
    <mergeCell ref="B14"/>
    <mergeCell ref="C6:E6"/>
    <mergeCell ref="D25:E25"/>
    <mergeCell ref="B17"/>
    <mergeCell ref="D30:E30"/>
    <mergeCell ref="B20:C20"/>
    <mergeCell ref="D29:E29"/>
    <mergeCell ref="B19"/>
    <mergeCell ref="D26:E26"/>
    <mergeCell ref="C10:E10"/>
    <mergeCell ref="D27:E27"/>
    <mergeCell ref="C8:E8"/>
    <mergeCell ref="B16"/>
    <mergeCell ref="C7:E7"/>
    <mergeCell ref="A24:E24"/>
    <mergeCell ref="B15"/>
    <mergeCell ref="C9:E9"/>
    <mergeCell ref="B22:C22"/>
    <mergeCell ref="A1:E1"/>
    <mergeCell ref="B21:C21"/>
    <mergeCell ref="A2:E2"/>
    <mergeCell ref="A3:E3"/>
    <mergeCell ref="A12:E12"/>
    <mergeCell ref="B18"/>
    <mergeCell ref="C5:E5"/>
    <mergeCell ref="C4:E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showGridLines="0" workbookViewId="0">
      <pane ySplit="3" topLeftCell="A25" activePane="bottomLeft" state="frozen"/>
      <selection activeCell="D26" sqref="D26:E30"/>
      <selection pane="bottomLeft" activeCell="D26" sqref="D26:E30"/>
    </sheetView>
  </sheetViews>
  <sheetFormatPr baseColWidth="10" defaultColWidth="9.1796875" defaultRowHeight="14.5" x14ac:dyDescent="0.35"/>
  <cols>
    <col min="1" max="1" width="8" customWidth="1"/>
    <col min="2" max="2" width="48" customWidth="1"/>
    <col min="3" max="3" width="8" customWidth="1"/>
    <col min="4" max="4" width="10" customWidth="1"/>
    <col min="5" max="6" width="16" customWidth="1"/>
    <col min="7" max="8" width="14" customWidth="1"/>
    <col min="9" max="10" width="16" customWidth="1"/>
    <col min="12" max="12" width="10.1796875" bestFit="1" customWidth="1"/>
  </cols>
  <sheetData>
    <row r="1" spans="1:10" x14ac:dyDescent="0.35">
      <c r="A1" s="142" t="s">
        <v>45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x14ac:dyDescent="0.35">
      <c r="A2" s="151" t="s">
        <v>46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ht="39" x14ac:dyDescent="0.35">
      <c r="A3" s="20" t="s">
        <v>47</v>
      </c>
      <c r="B3" s="20" t="s">
        <v>48</v>
      </c>
      <c r="C3" s="20" t="s">
        <v>49</v>
      </c>
      <c r="D3" s="20" t="s">
        <v>50</v>
      </c>
      <c r="E3" s="20" t="s">
        <v>51</v>
      </c>
      <c r="F3" s="20" t="s">
        <v>52</v>
      </c>
      <c r="G3" s="20" t="s">
        <v>53</v>
      </c>
      <c r="H3" s="20" t="s">
        <v>54</v>
      </c>
      <c r="I3" s="20" t="s">
        <v>55</v>
      </c>
      <c r="J3" s="20" t="s">
        <v>56</v>
      </c>
    </row>
    <row r="4" spans="1:10" x14ac:dyDescent="0.35">
      <c r="A4" s="147" t="s">
        <v>57</v>
      </c>
      <c r="B4" s="129"/>
      <c r="C4" s="129"/>
      <c r="D4" s="129"/>
      <c r="E4" s="129"/>
      <c r="F4" s="129"/>
      <c r="G4" s="129"/>
      <c r="H4" s="129"/>
      <c r="I4" s="129"/>
      <c r="J4" s="130"/>
    </row>
    <row r="5" spans="1:10" x14ac:dyDescent="0.35">
      <c r="A5" s="21" t="s">
        <v>58</v>
      </c>
      <c r="B5" s="22" t="s">
        <v>59</v>
      </c>
      <c r="C5" s="4" t="s">
        <v>60</v>
      </c>
      <c r="D5" s="23">
        <v>470</v>
      </c>
      <c r="E5" s="5">
        <v>475</v>
      </c>
      <c r="F5" s="5">
        <v>2700</v>
      </c>
      <c r="G5" s="5">
        <v>1012</v>
      </c>
      <c r="H5" s="5">
        <v>238</v>
      </c>
      <c r="I5" s="24">
        <f t="shared" ref="I5:I10" si="0">+SUM(E5:H5)</f>
        <v>4425</v>
      </c>
      <c r="J5" s="11">
        <f t="shared" ref="J5:J10" si="1">+I5*D5</f>
        <v>2079750</v>
      </c>
    </row>
    <row r="6" spans="1:10" x14ac:dyDescent="0.35">
      <c r="A6" s="25" t="s">
        <v>61</v>
      </c>
      <c r="B6" s="26" t="s">
        <v>62</v>
      </c>
      <c r="C6" s="18" t="s">
        <v>63</v>
      </c>
      <c r="D6" s="27">
        <v>120</v>
      </c>
      <c r="E6" s="19">
        <v>8000</v>
      </c>
      <c r="F6" s="19">
        <v>15000</v>
      </c>
      <c r="G6" s="19">
        <v>2800</v>
      </c>
      <c r="H6" s="19">
        <v>1200</v>
      </c>
      <c r="I6" s="24">
        <f t="shared" si="0"/>
        <v>27000</v>
      </c>
      <c r="J6" s="11">
        <f t="shared" si="1"/>
        <v>3240000</v>
      </c>
    </row>
    <row r="7" spans="1:10" x14ac:dyDescent="0.35">
      <c r="A7" s="21" t="s">
        <v>64</v>
      </c>
      <c r="B7" s="22" t="s">
        <v>65</v>
      </c>
      <c r="C7" s="4" t="s">
        <v>66</v>
      </c>
      <c r="D7" s="23">
        <v>8</v>
      </c>
      <c r="E7" s="5">
        <v>65000</v>
      </c>
      <c r="F7" s="5">
        <v>90000</v>
      </c>
      <c r="G7" s="5">
        <v>18000</v>
      </c>
      <c r="H7" s="5">
        <v>7000</v>
      </c>
      <c r="I7" s="24">
        <f t="shared" si="0"/>
        <v>180000</v>
      </c>
      <c r="J7" s="11">
        <f t="shared" si="1"/>
        <v>1440000</v>
      </c>
    </row>
    <row r="8" spans="1:10" x14ac:dyDescent="0.35">
      <c r="A8" s="25" t="s">
        <v>67</v>
      </c>
      <c r="B8" s="26" t="s">
        <v>68</v>
      </c>
      <c r="C8" s="18" t="s">
        <v>60</v>
      </c>
      <c r="D8" s="27">
        <v>66.5</v>
      </c>
      <c r="E8" s="19">
        <v>0</v>
      </c>
      <c r="F8" s="19">
        <v>16500</v>
      </c>
      <c r="G8" s="19">
        <v>3300</v>
      </c>
      <c r="H8" s="19">
        <v>2200</v>
      </c>
      <c r="I8" s="24">
        <f t="shared" si="0"/>
        <v>22000</v>
      </c>
      <c r="J8" s="11">
        <f t="shared" si="1"/>
        <v>1463000</v>
      </c>
    </row>
    <row r="9" spans="1:10" x14ac:dyDescent="0.35">
      <c r="A9" s="21" t="s">
        <v>69</v>
      </c>
      <c r="B9" s="22" t="s">
        <v>70</v>
      </c>
      <c r="C9" s="4" t="s">
        <v>60</v>
      </c>
      <c r="D9" s="23">
        <v>8.15</v>
      </c>
      <c r="E9" s="5">
        <v>0</v>
      </c>
      <c r="F9" s="5">
        <v>10200</v>
      </c>
      <c r="G9" s="5">
        <v>6500</v>
      </c>
      <c r="H9" s="5">
        <v>1800</v>
      </c>
      <c r="I9" s="24">
        <f t="shared" si="0"/>
        <v>18500</v>
      </c>
      <c r="J9" s="11">
        <f t="shared" si="1"/>
        <v>150775</v>
      </c>
    </row>
    <row r="10" spans="1:10" x14ac:dyDescent="0.35">
      <c r="A10" s="25" t="s">
        <v>71</v>
      </c>
      <c r="B10" s="26" t="s">
        <v>72</v>
      </c>
      <c r="C10" s="18" t="s">
        <v>73</v>
      </c>
      <c r="D10" s="27">
        <v>45</v>
      </c>
      <c r="E10" s="19">
        <v>0</v>
      </c>
      <c r="F10" s="19">
        <v>11400</v>
      </c>
      <c r="G10" s="19">
        <v>13300</v>
      </c>
      <c r="H10" s="19">
        <v>13300</v>
      </c>
      <c r="I10" s="24">
        <f t="shared" si="0"/>
        <v>38000</v>
      </c>
      <c r="J10" s="11">
        <f t="shared" si="1"/>
        <v>1710000</v>
      </c>
    </row>
    <row r="11" spans="1:10" ht="15" customHeight="1" x14ac:dyDescent="0.35">
      <c r="A11" s="148" t="s">
        <v>74</v>
      </c>
      <c r="B11" s="149"/>
      <c r="C11" s="149"/>
      <c r="D11" s="149"/>
      <c r="E11" s="107">
        <f>+E5*$D$5+E6*$D$6+E7*$D$7+E8*$D$8+E9*$D$9+E10*$D$10</f>
        <v>1703250</v>
      </c>
      <c r="F11" s="107">
        <f>+F5*$D$5+F6*$D$6+F7*$D$7+F8*$D$8+F9*$D$9+F10*$D$10</f>
        <v>5482380</v>
      </c>
      <c r="G11" s="107">
        <f>+G5*$D$5+G6*$D$6+G7*$D$7+G8*$D$8+G9*$D$9+G10*$D$10</f>
        <v>1826565</v>
      </c>
      <c r="H11" s="107">
        <f>+H5*$D$5+H6*$D$6+H7*$D$7+H8*$D$8+H9*$D$9+H10*$D$10</f>
        <v>1071330</v>
      </c>
      <c r="I11" s="47"/>
      <c r="J11" s="28">
        <f>+SUM(J5:J10)</f>
        <v>10083525</v>
      </c>
    </row>
    <row r="12" spans="1:10" x14ac:dyDescent="0.35">
      <c r="A12" s="146" t="s">
        <v>75</v>
      </c>
      <c r="B12" s="129"/>
      <c r="C12" s="129"/>
      <c r="D12" s="129"/>
      <c r="E12" s="129"/>
      <c r="F12" s="129"/>
      <c r="G12" s="129"/>
      <c r="H12" s="129"/>
      <c r="I12" s="129"/>
      <c r="J12" s="130"/>
    </row>
    <row r="13" spans="1:10" x14ac:dyDescent="0.35">
      <c r="A13" s="21" t="s">
        <v>76</v>
      </c>
      <c r="B13" s="22" t="s">
        <v>77</v>
      </c>
      <c r="C13" s="4" t="s">
        <v>73</v>
      </c>
      <c r="D13" s="23">
        <f>+'CANT PRELIM'!H11</f>
        <v>9.3254999999999999</v>
      </c>
      <c r="E13" s="5">
        <v>0</v>
      </c>
      <c r="F13" s="5">
        <v>68000</v>
      </c>
      <c r="G13" s="5">
        <v>12750</v>
      </c>
      <c r="H13" s="5">
        <v>4250</v>
      </c>
      <c r="I13" s="24">
        <f t="shared" ref="I13:I20" si="2">+SUM(E13:H13)</f>
        <v>85000</v>
      </c>
      <c r="J13" s="11">
        <f t="shared" ref="J13:J20" si="3">+I13*D13</f>
        <v>792667.5</v>
      </c>
    </row>
    <row r="14" spans="1:10" x14ac:dyDescent="0.35">
      <c r="A14" s="25" t="s">
        <v>78</v>
      </c>
      <c r="B14" s="26" t="s">
        <v>79</v>
      </c>
      <c r="C14" s="18" t="s">
        <v>60</v>
      </c>
      <c r="D14" s="27">
        <f>+'CANT PRELIM'!G25</f>
        <v>8.1449999999999996</v>
      </c>
      <c r="E14" s="19">
        <v>38500</v>
      </c>
      <c r="F14" s="19">
        <v>22000</v>
      </c>
      <c r="G14" s="19">
        <v>6800</v>
      </c>
      <c r="H14" s="19">
        <v>0</v>
      </c>
      <c r="I14" s="24">
        <f t="shared" si="2"/>
        <v>67300</v>
      </c>
      <c r="J14" s="11">
        <f t="shared" si="3"/>
        <v>548158.5</v>
      </c>
    </row>
    <row r="15" spans="1:10" x14ac:dyDescent="0.35">
      <c r="A15" s="21" t="s">
        <v>80</v>
      </c>
      <c r="B15" s="22" t="s">
        <v>81</v>
      </c>
      <c r="C15" s="4" t="s">
        <v>82</v>
      </c>
      <c r="D15" s="23">
        <f>+'CANT ACEROS'!H23+'CANT ACEROS'!H33+'CANT ACEROS'!H43</f>
        <v>239.83244000000002</v>
      </c>
      <c r="E15" s="5">
        <v>4998</v>
      </c>
      <c r="F15" s="5">
        <v>2000</v>
      </c>
      <c r="G15" s="5">
        <v>0</v>
      </c>
      <c r="H15" s="5">
        <v>350</v>
      </c>
      <c r="I15" s="24">
        <f t="shared" si="2"/>
        <v>7348</v>
      </c>
      <c r="J15" s="11">
        <f t="shared" si="3"/>
        <v>1762288.7691200001</v>
      </c>
    </row>
    <row r="16" spans="1:10" x14ac:dyDescent="0.35">
      <c r="A16" s="25" t="s">
        <v>83</v>
      </c>
      <c r="B16" s="26" t="s">
        <v>84</v>
      </c>
      <c r="C16" s="18" t="s">
        <v>73</v>
      </c>
      <c r="D16" s="27">
        <f>+'CANT CONCR'!H18</f>
        <v>3.0882499999999999</v>
      </c>
      <c r="E16" s="19">
        <v>248000</v>
      </c>
      <c r="F16" s="19">
        <v>75000</v>
      </c>
      <c r="G16" s="19">
        <v>28000</v>
      </c>
      <c r="H16" s="19">
        <v>12000</v>
      </c>
      <c r="I16" s="24">
        <f t="shared" si="2"/>
        <v>363000</v>
      </c>
      <c r="J16" s="11">
        <f t="shared" si="3"/>
        <v>1121034.75</v>
      </c>
    </row>
    <row r="17" spans="1:12" x14ac:dyDescent="0.35">
      <c r="A17" s="21" t="s">
        <v>85</v>
      </c>
      <c r="B17" s="22" t="s">
        <v>86</v>
      </c>
      <c r="C17" s="4" t="s">
        <v>73</v>
      </c>
      <c r="D17" s="23">
        <f>+'CANT CONCR'!H28</f>
        <v>1.5342550000000001</v>
      </c>
      <c r="E17" s="5">
        <v>248000</v>
      </c>
      <c r="F17" s="5">
        <v>110000</v>
      </c>
      <c r="G17" s="5">
        <v>28000</v>
      </c>
      <c r="H17" s="5">
        <v>12000</v>
      </c>
      <c r="I17" s="24">
        <f t="shared" si="2"/>
        <v>398000</v>
      </c>
      <c r="J17" s="11">
        <f t="shared" si="3"/>
        <v>610633.49000000011</v>
      </c>
    </row>
    <row r="18" spans="1:12" x14ac:dyDescent="0.35">
      <c r="A18" s="25" t="s">
        <v>87</v>
      </c>
      <c r="B18" s="26" t="s">
        <v>88</v>
      </c>
      <c r="C18" s="18" t="s">
        <v>73</v>
      </c>
      <c r="D18" s="27">
        <f>+'CANT CONCR'!H35</f>
        <v>0.88865827200000003</v>
      </c>
      <c r="E18" s="19">
        <v>248000</v>
      </c>
      <c r="F18" s="19">
        <v>75000</v>
      </c>
      <c r="G18" s="19">
        <v>28000</v>
      </c>
      <c r="H18" s="19">
        <v>0</v>
      </c>
      <c r="I18" s="24">
        <f t="shared" si="2"/>
        <v>351000</v>
      </c>
      <c r="J18" s="11">
        <f t="shared" si="3"/>
        <v>311919.053472</v>
      </c>
    </row>
    <row r="19" spans="1:12" ht="23" x14ac:dyDescent="0.35">
      <c r="A19" s="21" t="s">
        <v>89</v>
      </c>
      <c r="B19" s="22" t="s">
        <v>90</v>
      </c>
      <c r="C19" s="4" t="s">
        <v>91</v>
      </c>
      <c r="D19" s="23">
        <v>1</v>
      </c>
      <c r="E19" s="5">
        <v>2613894</v>
      </c>
      <c r="F19" s="5">
        <v>480000</v>
      </c>
      <c r="G19" s="5">
        <v>0</v>
      </c>
      <c r="H19" s="5">
        <v>30000</v>
      </c>
      <c r="I19" s="24">
        <f t="shared" si="2"/>
        <v>3123894</v>
      </c>
      <c r="J19" s="11">
        <f t="shared" si="3"/>
        <v>3123894</v>
      </c>
    </row>
    <row r="20" spans="1:12" x14ac:dyDescent="0.35">
      <c r="A20" s="25" t="s">
        <v>92</v>
      </c>
      <c r="B20" s="26" t="s">
        <v>93</v>
      </c>
      <c r="C20" s="18" t="s">
        <v>73</v>
      </c>
      <c r="D20" s="27">
        <v>7.5</v>
      </c>
      <c r="E20" s="19">
        <v>28000</v>
      </c>
      <c r="F20" s="19">
        <v>15750</v>
      </c>
      <c r="G20" s="19">
        <v>5250</v>
      </c>
      <c r="H20" s="19">
        <v>0</v>
      </c>
      <c r="I20" s="24">
        <f t="shared" si="2"/>
        <v>49000</v>
      </c>
      <c r="J20" s="11">
        <f t="shared" si="3"/>
        <v>367500</v>
      </c>
    </row>
    <row r="21" spans="1:12" ht="15" customHeight="1" x14ac:dyDescent="0.35">
      <c r="A21" s="148" t="s">
        <v>94</v>
      </c>
      <c r="B21" s="149"/>
      <c r="C21" s="149"/>
      <c r="D21" s="149"/>
      <c r="E21" s="108">
        <f>+E13*$D$13+E14*$D$14+E15*$D$15+E16*$D$16+E17*$D$17+E18*$D$18+E19*$D$19+E20*$D$20</f>
        <v>5702927.5265760003</v>
      </c>
      <c r="F21" s="108">
        <f>+F13*$D$13+F14*$D$14+F15*$D$15+F16*$D$16+F17*$D$17+F18*$D$18+F19*$D$19+F20*$D$20</f>
        <v>2358150.0504000001</v>
      </c>
      <c r="G21" s="108">
        <f>+G13*$D$13+G14*$D$14+G15*$D$15+G16*$D$16+G17*$D$17+G18*$D$18+G19*$D$19+G20*$D$20</f>
        <v>367973.69661600003</v>
      </c>
      <c r="H21" s="108">
        <f>+H13*$D$13+H14*$D$14+H15*$D$15+H16*$D$16+H17*$D$17+H18*$D$18+H19*$D$19+H20*$D$20</f>
        <v>209044.78899999999</v>
      </c>
      <c r="I21" s="47"/>
      <c r="J21" s="28">
        <f>+SUM(J13:J20)</f>
        <v>8638096.0625919998</v>
      </c>
    </row>
    <row r="22" spans="1:12" x14ac:dyDescent="0.35">
      <c r="A22" s="145" t="s">
        <v>95</v>
      </c>
      <c r="B22" s="129"/>
      <c r="C22" s="129"/>
      <c r="D22" s="129"/>
      <c r="E22" s="129"/>
      <c r="F22" s="129"/>
      <c r="G22" s="129"/>
      <c r="H22" s="129"/>
      <c r="I22" s="129"/>
      <c r="J22" s="130"/>
    </row>
    <row r="23" spans="1:12" ht="23" x14ac:dyDescent="0.35">
      <c r="A23" s="21" t="s">
        <v>96</v>
      </c>
      <c r="B23" s="22" t="s">
        <v>97</v>
      </c>
      <c r="C23" s="4" t="s">
        <v>82</v>
      </c>
      <c r="D23" s="23">
        <f>+'CANT ESTR MET'!G9+'CANT ESTR MET'!G15</f>
        <v>805.68000000000006</v>
      </c>
      <c r="E23" s="19">
        <v>8000</v>
      </c>
      <c r="F23" s="19">
        <v>4483</v>
      </c>
      <c r="G23" s="19">
        <v>2543</v>
      </c>
      <c r="H23" s="19">
        <v>500</v>
      </c>
      <c r="I23" s="24">
        <f>+SUM(E23:H23)</f>
        <v>15526</v>
      </c>
      <c r="J23" s="11">
        <f t="shared" ref="J23:J30" si="4">+I23*D23</f>
        <v>12508987.680000002</v>
      </c>
    </row>
    <row r="24" spans="1:12" ht="23" x14ac:dyDescent="0.35">
      <c r="A24" s="25" t="s">
        <v>98</v>
      </c>
      <c r="B24" s="26" t="s">
        <v>99</v>
      </c>
      <c r="C24" s="18" t="s">
        <v>82</v>
      </c>
      <c r="D24" s="27">
        <f>+'CANT ESTR MET'!G25+'CANT ESTR MET'!G30+'CANT ESTR MET'!G36</f>
        <v>2352.9651311400003</v>
      </c>
      <c r="E24" s="19">
        <v>8000</v>
      </c>
      <c r="F24" s="19">
        <v>4483</v>
      </c>
      <c r="G24" s="19">
        <v>2543</v>
      </c>
      <c r="H24" s="19">
        <v>500</v>
      </c>
      <c r="I24" s="24">
        <f t="shared" ref="I24:I30" si="5">+SUM(E24:H24)</f>
        <v>15526</v>
      </c>
      <c r="J24" s="11">
        <f t="shared" si="4"/>
        <v>36532136.626079641</v>
      </c>
    </row>
    <row r="25" spans="1:12" ht="23" x14ac:dyDescent="0.35">
      <c r="A25" s="21" t="s">
        <v>100</v>
      </c>
      <c r="B25" s="22" t="s">
        <v>101</v>
      </c>
      <c r="C25" s="4" t="s">
        <v>82</v>
      </c>
      <c r="D25" s="23">
        <v>31.7</v>
      </c>
      <c r="E25" s="5">
        <v>32000</v>
      </c>
      <c r="F25" s="5">
        <v>0</v>
      </c>
      <c r="G25" s="5">
        <v>0</v>
      </c>
      <c r="H25" s="5">
        <v>0</v>
      </c>
      <c r="I25" s="24">
        <f t="shared" si="5"/>
        <v>32000</v>
      </c>
      <c r="J25" s="11">
        <f t="shared" si="4"/>
        <v>1014400</v>
      </c>
    </row>
    <row r="26" spans="1:12" ht="23" x14ac:dyDescent="0.35">
      <c r="A26" s="25" t="s">
        <v>102</v>
      </c>
      <c r="B26" s="26" t="s">
        <v>103</v>
      </c>
      <c r="C26" s="18" t="s">
        <v>91</v>
      </c>
      <c r="D26" s="27">
        <v>1</v>
      </c>
      <c r="E26" s="19">
        <v>285000</v>
      </c>
      <c r="F26" s="19">
        <v>185000</v>
      </c>
      <c r="G26" s="19">
        <v>0</v>
      </c>
      <c r="H26" s="19">
        <v>15000</v>
      </c>
      <c r="I26" s="24">
        <f t="shared" si="5"/>
        <v>485000</v>
      </c>
      <c r="J26" s="11">
        <f t="shared" si="4"/>
        <v>485000</v>
      </c>
    </row>
    <row r="27" spans="1:12" ht="23" x14ac:dyDescent="0.35">
      <c r="A27" s="21" t="s">
        <v>104</v>
      </c>
      <c r="B27" s="22" t="s">
        <v>105</v>
      </c>
      <c r="C27" s="4" t="s">
        <v>63</v>
      </c>
      <c r="D27" s="23">
        <v>80.02</v>
      </c>
      <c r="E27" s="5">
        <v>50000</v>
      </c>
      <c r="F27" s="5">
        <v>9000</v>
      </c>
      <c r="G27" s="5">
        <v>2000</v>
      </c>
      <c r="H27" s="5">
        <v>2500</v>
      </c>
      <c r="I27" s="24">
        <f t="shared" si="5"/>
        <v>63500</v>
      </c>
      <c r="J27" s="11">
        <f t="shared" si="4"/>
        <v>5081270</v>
      </c>
    </row>
    <row r="28" spans="1:12" x14ac:dyDescent="0.35">
      <c r="A28" s="25" t="s">
        <v>106</v>
      </c>
      <c r="B28" s="26" t="s">
        <v>107</v>
      </c>
      <c r="C28" s="18" t="s">
        <v>60</v>
      </c>
      <c r="D28" s="27">
        <v>66.5</v>
      </c>
      <c r="E28" s="19">
        <v>40000</v>
      </c>
      <c r="F28" s="19">
        <v>25000</v>
      </c>
      <c r="G28" s="19">
        <v>3500</v>
      </c>
      <c r="H28" s="19">
        <v>3500</v>
      </c>
      <c r="I28" s="24">
        <f t="shared" si="5"/>
        <v>72000</v>
      </c>
      <c r="J28" s="11">
        <f t="shared" si="4"/>
        <v>4788000</v>
      </c>
    </row>
    <row r="29" spans="1:12" ht="23" x14ac:dyDescent="0.35">
      <c r="A29" s="21" t="s">
        <v>108</v>
      </c>
      <c r="B29" s="22" t="s">
        <v>109</v>
      </c>
      <c r="C29" s="4" t="s">
        <v>82</v>
      </c>
      <c r="D29" s="23">
        <f>+'CANT ESTR MET'!G44</f>
        <v>168.70000000000002</v>
      </c>
      <c r="E29" s="5">
        <v>8500</v>
      </c>
      <c r="F29" s="5">
        <v>5600</v>
      </c>
      <c r="G29" s="5">
        <v>1800</v>
      </c>
      <c r="H29" s="5">
        <v>400</v>
      </c>
      <c r="I29" s="24">
        <f t="shared" si="5"/>
        <v>16300</v>
      </c>
      <c r="J29" s="11">
        <f t="shared" si="4"/>
        <v>2749810.0000000005</v>
      </c>
    </row>
    <row r="30" spans="1:12" ht="23" x14ac:dyDescent="0.35">
      <c r="A30" s="25" t="s">
        <v>110</v>
      </c>
      <c r="B30" s="26" t="s">
        <v>111</v>
      </c>
      <c r="C30" s="18" t="s">
        <v>66</v>
      </c>
      <c r="D30" s="27">
        <v>20</v>
      </c>
      <c r="E30" s="19">
        <v>88000</v>
      </c>
      <c r="F30" s="19">
        <v>38000</v>
      </c>
      <c r="G30" s="19">
        <v>0</v>
      </c>
      <c r="H30" s="19">
        <v>4000</v>
      </c>
      <c r="I30" s="24">
        <f t="shared" si="5"/>
        <v>130000</v>
      </c>
      <c r="J30" s="11">
        <f t="shared" si="4"/>
        <v>2600000</v>
      </c>
    </row>
    <row r="31" spans="1:12" ht="15" customHeight="1" x14ac:dyDescent="0.35">
      <c r="A31" s="148" t="s">
        <v>112</v>
      </c>
      <c r="B31" s="149"/>
      <c r="C31" s="149"/>
      <c r="D31" s="149"/>
      <c r="E31" s="108">
        <f>+E23*$D$23+E24*$D$24+E25*$D$25+E26*$D$26+E27*$D$27+E28*$D$28+E29*$D$29+E30*$D$30</f>
        <v>36423511.049120001</v>
      </c>
      <c r="F31" s="108">
        <f>+F23*$D$23+F24*$D$24+F25*$D$25+F26*$D$26+F27*$D$27+F28*$D$28+F29*$D$29+F30*$D$30</f>
        <v>18432606.12290062</v>
      </c>
      <c r="G31" s="108">
        <f>+G23*$D$23+G24*$D$24+G25*$D$25+G26*$D$26+G27*$D$27+G28*$D$28+G29*$D$29+G30*$D$30</f>
        <v>8728884.5684890207</v>
      </c>
      <c r="H31" s="108">
        <f>+H23*$D$23+H24*$D$24+H25*$D$25+H26*$D$26+H27*$D$27+H28*$D$28+H29*$D$29+H30*$D$30</f>
        <v>2174602.5655700001</v>
      </c>
      <c r="I31" s="47"/>
      <c r="J31" s="28">
        <f>+SUM(J23:J30)</f>
        <v>65759604.306079641</v>
      </c>
      <c r="L31" s="111">
        <f>+J31+J21+J11</f>
        <v>84481225.368671641</v>
      </c>
    </row>
    <row r="32" spans="1:12" x14ac:dyDescent="0.35">
      <c r="A32" s="143" t="s">
        <v>113</v>
      </c>
      <c r="B32" s="129"/>
      <c r="C32" s="129"/>
      <c r="D32" s="129"/>
      <c r="E32" s="129"/>
      <c r="F32" s="129"/>
      <c r="G32" s="129"/>
      <c r="H32" s="129"/>
      <c r="I32" s="129"/>
      <c r="J32" s="130"/>
    </row>
    <row r="33" spans="1:10" ht="23" x14ac:dyDescent="0.35">
      <c r="A33" s="21" t="s">
        <v>114</v>
      </c>
      <c r="B33" s="22" t="s">
        <v>115</v>
      </c>
      <c r="C33" s="4" t="s">
        <v>60</v>
      </c>
      <c r="D33" s="23">
        <f>+D13-D16-D17</f>
        <v>4.7029949999999996</v>
      </c>
      <c r="E33" s="5">
        <v>18000</v>
      </c>
      <c r="F33" s="5">
        <v>8500</v>
      </c>
      <c r="G33" s="5">
        <v>4200</v>
      </c>
      <c r="H33" s="5">
        <v>1800</v>
      </c>
      <c r="I33" s="24">
        <f>+SUM(E33:H33)</f>
        <v>32500</v>
      </c>
      <c r="J33" s="11">
        <f>+I33*D33</f>
        <v>152847.33749999999</v>
      </c>
    </row>
    <row r="34" spans="1:10" ht="23" x14ac:dyDescent="0.35">
      <c r="A34" s="25" t="s">
        <v>116</v>
      </c>
      <c r="B34" s="26" t="s">
        <v>117</v>
      </c>
      <c r="C34" s="18" t="s">
        <v>60</v>
      </c>
      <c r="D34" s="27">
        <f>+D14</f>
        <v>8.1449999999999996</v>
      </c>
      <c r="E34" s="19">
        <v>48500</v>
      </c>
      <c r="F34" s="19">
        <v>30000</v>
      </c>
      <c r="G34" s="19">
        <v>8500</v>
      </c>
      <c r="H34" s="19">
        <v>3200</v>
      </c>
      <c r="I34" s="24">
        <f>+SUM(E34:H34)</f>
        <v>90200</v>
      </c>
      <c r="J34" s="11">
        <f>+I34*D34</f>
        <v>734679</v>
      </c>
    </row>
    <row r="35" spans="1:10" x14ac:dyDescent="0.35">
      <c r="A35" s="21" t="s">
        <v>118</v>
      </c>
      <c r="B35" s="22" t="s">
        <v>618</v>
      </c>
      <c r="C35" s="4" t="s">
        <v>60</v>
      </c>
      <c r="D35" s="23">
        <f>8.15*1.6</f>
        <v>13.040000000000001</v>
      </c>
      <c r="E35" s="5">
        <v>38000</v>
      </c>
      <c r="F35" s="5">
        <v>28000</v>
      </c>
      <c r="G35" s="5">
        <v>0</v>
      </c>
      <c r="H35" s="5">
        <v>2500</v>
      </c>
      <c r="I35" s="24">
        <f>+SUM(E35:H35)</f>
        <v>68500</v>
      </c>
      <c r="J35" s="11">
        <f>+I35*D35</f>
        <v>893240.00000000012</v>
      </c>
    </row>
    <row r="36" spans="1:10" x14ac:dyDescent="0.35">
      <c r="A36" s="25" t="s">
        <v>119</v>
      </c>
      <c r="B36" s="26" t="s">
        <v>120</v>
      </c>
      <c r="C36" s="18" t="s">
        <v>63</v>
      </c>
      <c r="D36" s="27">
        <v>10</v>
      </c>
      <c r="E36" s="19">
        <v>12000</v>
      </c>
      <c r="F36" s="19">
        <v>7500</v>
      </c>
      <c r="G36" s="19">
        <v>0</v>
      </c>
      <c r="H36" s="19">
        <v>800</v>
      </c>
      <c r="I36" s="24">
        <f>+SUM(E36:H36)</f>
        <v>20300</v>
      </c>
      <c r="J36" s="11">
        <f>+I36*D36</f>
        <v>203000</v>
      </c>
    </row>
    <row r="37" spans="1:10" ht="15" customHeight="1" x14ac:dyDescent="0.35">
      <c r="A37" s="148" t="s">
        <v>121</v>
      </c>
      <c r="B37" s="149"/>
      <c r="C37" s="149"/>
      <c r="D37" s="149"/>
      <c r="E37" s="108">
        <f>+E33*$D$33+E34*$D$34+E35*$D$35+E36*$D$36</f>
        <v>1095206.4100000001</v>
      </c>
      <c r="F37" s="108">
        <f>+F33*$D$33+F34*$D$34+F35*$D$35+F36*$D$36</f>
        <v>724445.45750000002</v>
      </c>
      <c r="G37" s="108">
        <f>+G33*$D$33+G34*$D$34+G35*$D$35+G36*$D$36</f>
        <v>88985.078999999998</v>
      </c>
      <c r="H37" s="108">
        <f>+H33*$D$33+H34*$D$34+H35*$D$35+H36*$D$36</f>
        <v>75129.391000000003</v>
      </c>
      <c r="I37" s="47"/>
      <c r="J37" s="28">
        <f>+SUM(J33:J36)</f>
        <v>1983766.3375000001</v>
      </c>
    </row>
    <row r="38" spans="1:10" x14ac:dyDescent="0.35">
      <c r="A38" s="150" t="s">
        <v>122</v>
      </c>
      <c r="B38" s="129"/>
      <c r="C38" s="129"/>
      <c r="D38" s="129"/>
      <c r="E38" s="129"/>
      <c r="F38" s="129"/>
      <c r="G38" s="129"/>
      <c r="H38" s="129"/>
      <c r="I38" s="129"/>
      <c r="J38" s="130"/>
    </row>
    <row r="39" spans="1:10" ht="23" x14ac:dyDescent="0.35">
      <c r="A39" s="21" t="s">
        <v>123</v>
      </c>
      <c r="B39" s="22" t="s">
        <v>124</v>
      </c>
      <c r="C39" s="4" t="s">
        <v>60</v>
      </c>
      <c r="D39" s="23">
        <v>100</v>
      </c>
      <c r="E39" s="5">
        <v>22000</v>
      </c>
      <c r="F39" s="5">
        <v>18500</v>
      </c>
      <c r="G39" s="5">
        <v>0</v>
      </c>
      <c r="H39" s="5">
        <v>1200</v>
      </c>
      <c r="I39" s="24">
        <f>+SUM(E39:H39)</f>
        <v>41700</v>
      </c>
      <c r="J39" s="11">
        <f>+I39*D39</f>
        <v>4170000</v>
      </c>
    </row>
    <row r="40" spans="1:10" ht="23" x14ac:dyDescent="0.35">
      <c r="A40" s="25" t="s">
        <v>125</v>
      </c>
      <c r="B40" s="26" t="s">
        <v>126</v>
      </c>
      <c r="C40" s="18" t="s">
        <v>60</v>
      </c>
      <c r="D40" s="27">
        <v>100</v>
      </c>
      <c r="E40" s="19">
        <v>18500</v>
      </c>
      <c r="F40" s="19">
        <v>16000</v>
      </c>
      <c r="G40" s="19">
        <v>0</v>
      </c>
      <c r="H40" s="19">
        <v>800</v>
      </c>
      <c r="I40" s="24">
        <f>+SUM(E40:H40)</f>
        <v>35300</v>
      </c>
      <c r="J40" s="11">
        <f>+I40*D40</f>
        <v>3530000</v>
      </c>
    </row>
    <row r="41" spans="1:10" ht="23" x14ac:dyDescent="0.35">
      <c r="A41" s="21" t="s">
        <v>127</v>
      </c>
      <c r="B41" s="22" t="s">
        <v>128</v>
      </c>
      <c r="C41" s="4" t="s">
        <v>66</v>
      </c>
      <c r="D41" s="23">
        <v>4</v>
      </c>
      <c r="E41" s="5">
        <v>55000</v>
      </c>
      <c r="F41" s="5">
        <v>85000</v>
      </c>
      <c r="G41" s="5">
        <v>0</v>
      </c>
      <c r="H41" s="5">
        <v>5000</v>
      </c>
      <c r="I41" s="24">
        <f>+SUM(E41:H41)</f>
        <v>145000</v>
      </c>
      <c r="J41" s="11">
        <f>+I41*D41</f>
        <v>580000</v>
      </c>
    </row>
    <row r="42" spans="1:10" ht="15" customHeight="1" x14ac:dyDescent="0.35">
      <c r="A42" s="148" t="s">
        <v>129</v>
      </c>
      <c r="B42" s="149"/>
      <c r="C42" s="149"/>
      <c r="D42" s="149"/>
      <c r="E42" s="108">
        <f>+E39*$D$39+E40*$D$40+E41*$D$41</f>
        <v>4270000</v>
      </c>
      <c r="F42" s="108">
        <f>+F39*$D$39+F40*$D$40+F41*$D$41</f>
        <v>3790000</v>
      </c>
      <c r="G42" s="108">
        <f>+G39*$D$39+G40*$D$40+G41*$D$41</f>
        <v>0</v>
      </c>
      <c r="H42" s="108">
        <f>+H39*$D$39+H40*$D$40+H41*$D$41</f>
        <v>220000</v>
      </c>
      <c r="I42" s="47"/>
      <c r="J42" s="28">
        <f>+SUM(J39:J41)</f>
        <v>8280000</v>
      </c>
    </row>
    <row r="43" spans="1:10" x14ac:dyDescent="0.35">
      <c r="A43" s="147" t="s">
        <v>130</v>
      </c>
      <c r="B43" s="129"/>
      <c r="C43" s="129"/>
      <c r="D43" s="129"/>
      <c r="E43" s="129"/>
      <c r="F43" s="129"/>
      <c r="G43" s="129"/>
      <c r="H43" s="129"/>
      <c r="I43" s="129"/>
      <c r="J43" s="130"/>
    </row>
    <row r="44" spans="1:10" ht="23" x14ac:dyDescent="0.35">
      <c r="A44" s="21" t="s">
        <v>131</v>
      </c>
      <c r="B44" s="22" t="s">
        <v>132</v>
      </c>
      <c r="C44" s="4" t="s">
        <v>91</v>
      </c>
      <c r="D44" s="23">
        <v>1</v>
      </c>
      <c r="E44" s="5">
        <v>1250000</v>
      </c>
      <c r="F44" s="5">
        <v>850000</v>
      </c>
      <c r="G44" s="5">
        <v>0</v>
      </c>
      <c r="H44" s="5">
        <v>180000</v>
      </c>
      <c r="I44" s="24">
        <f>+SUM(E44:H44)</f>
        <v>2280000</v>
      </c>
      <c r="J44" s="11">
        <f>+I44*D44</f>
        <v>2280000</v>
      </c>
    </row>
    <row r="45" spans="1:10" x14ac:dyDescent="0.35">
      <c r="A45" s="25" t="s">
        <v>133</v>
      </c>
      <c r="B45" s="26" t="s">
        <v>134</v>
      </c>
      <c r="C45" s="18" t="s">
        <v>66</v>
      </c>
      <c r="D45" s="27">
        <v>1</v>
      </c>
      <c r="E45" s="19">
        <v>550000</v>
      </c>
      <c r="F45" s="19">
        <v>280000</v>
      </c>
      <c r="G45" s="19">
        <v>0</v>
      </c>
      <c r="H45" s="19">
        <v>45000</v>
      </c>
      <c r="I45" s="24">
        <f>+SUM(E45:H45)</f>
        <v>875000</v>
      </c>
      <c r="J45" s="11">
        <f>+I45*D45</f>
        <v>875000</v>
      </c>
    </row>
    <row r="46" spans="1:10" ht="23" x14ac:dyDescent="0.35">
      <c r="A46" s="21" t="s">
        <v>135</v>
      </c>
      <c r="B46" s="22" t="s">
        <v>136</v>
      </c>
      <c r="C46" s="4" t="s">
        <v>66</v>
      </c>
      <c r="D46" s="23">
        <v>12</v>
      </c>
      <c r="E46" s="5">
        <v>32000</v>
      </c>
      <c r="F46" s="5">
        <v>38000</v>
      </c>
      <c r="G46" s="5">
        <v>0</v>
      </c>
      <c r="H46" s="5">
        <v>2500</v>
      </c>
      <c r="I46" s="24">
        <f>+SUM(E46:H46)</f>
        <v>72500</v>
      </c>
      <c r="J46" s="11">
        <f>+I46*D46</f>
        <v>870000</v>
      </c>
    </row>
    <row r="47" spans="1:10" x14ac:dyDescent="0.35">
      <c r="A47" s="25" t="s">
        <v>137</v>
      </c>
      <c r="B47" s="26" t="s">
        <v>138</v>
      </c>
      <c r="C47" s="18" t="s">
        <v>66</v>
      </c>
      <c r="D47" s="27">
        <v>4</v>
      </c>
      <c r="E47" s="19">
        <v>22000</v>
      </c>
      <c r="F47" s="19">
        <v>28500</v>
      </c>
      <c r="G47" s="19">
        <v>0</v>
      </c>
      <c r="H47" s="19">
        <v>2000</v>
      </c>
      <c r="I47" s="24">
        <f>+SUM(E47:H47)</f>
        <v>52500</v>
      </c>
      <c r="J47" s="11">
        <f>+I47*D47</f>
        <v>210000</v>
      </c>
    </row>
    <row r="48" spans="1:10" ht="23" x14ac:dyDescent="0.35">
      <c r="A48" s="21" t="s">
        <v>139</v>
      </c>
      <c r="B48" s="22" t="s">
        <v>140</v>
      </c>
      <c r="C48" s="4" t="s">
        <v>66</v>
      </c>
      <c r="D48" s="23">
        <v>12</v>
      </c>
      <c r="E48" s="5">
        <v>85000</v>
      </c>
      <c r="F48" s="5">
        <v>42000</v>
      </c>
      <c r="G48" s="5">
        <v>0</v>
      </c>
      <c r="H48" s="5">
        <v>3500</v>
      </c>
      <c r="I48" s="24">
        <f>+SUM(E48:H48)</f>
        <v>130500</v>
      </c>
      <c r="J48" s="11">
        <f>+I48*D48</f>
        <v>1566000</v>
      </c>
    </row>
    <row r="49" spans="1:10" ht="15" customHeight="1" x14ac:dyDescent="0.35">
      <c r="A49" s="148" t="s">
        <v>141</v>
      </c>
      <c r="B49" s="149"/>
      <c r="C49" s="149"/>
      <c r="D49" s="149"/>
      <c r="E49" s="108">
        <f>+E44*$D$44+E45*$D$45+E46*$D$46+E47*$D$47+E48*$D$48</f>
        <v>3292000</v>
      </c>
      <c r="F49" s="108">
        <f>+F44*$D$44+F45*$D$45+F46*$D$46+F47*$D$47+F48*$D$48</f>
        <v>2204000</v>
      </c>
      <c r="G49" s="108">
        <f>+G44*$D$44+G45*$D$45+G46*$D$46+G47*$D$47+G48*$D$48</f>
        <v>0</v>
      </c>
      <c r="H49" s="108">
        <f>+H44*$D$44+H45*$D$45+H46*$D$46+H47*$D$47+H48*$D$48</f>
        <v>305000</v>
      </c>
      <c r="I49" s="47"/>
      <c r="J49" s="28">
        <f>+SUM(J44:J48)</f>
        <v>5801000</v>
      </c>
    </row>
    <row r="50" spans="1:10" x14ac:dyDescent="0.35">
      <c r="A50" s="144" t="s">
        <v>142</v>
      </c>
      <c r="B50" s="129"/>
      <c r="C50" s="129"/>
      <c r="D50" s="129"/>
      <c r="E50" s="129"/>
      <c r="F50" s="129"/>
      <c r="G50" s="129"/>
      <c r="H50" s="129"/>
      <c r="I50" s="130"/>
      <c r="J50" s="29">
        <f>+J49+J42+J37+J31+J21+J11</f>
        <v>100545991.70617165</v>
      </c>
    </row>
    <row r="51" spans="1:10" x14ac:dyDescent="0.35">
      <c r="A51" s="133" t="s">
        <v>617</v>
      </c>
      <c r="B51" s="129"/>
      <c r="C51" s="129"/>
      <c r="D51" s="129"/>
      <c r="E51" s="129"/>
      <c r="F51" s="129"/>
      <c r="G51" s="129"/>
      <c r="H51" s="129"/>
      <c r="I51" s="130"/>
      <c r="J51" s="14">
        <f>+J50*RESUMEN_EJECUTIVO!$E$21</f>
        <v>1005459.9170617164</v>
      </c>
    </row>
    <row r="52" spans="1:10" ht="15.5" x14ac:dyDescent="0.35">
      <c r="A52" s="131" t="s">
        <v>143</v>
      </c>
      <c r="B52" s="129"/>
      <c r="C52" s="129"/>
      <c r="D52" s="129"/>
      <c r="E52" s="129"/>
      <c r="F52" s="129"/>
      <c r="G52" s="129"/>
      <c r="H52" s="129"/>
      <c r="I52" s="130"/>
      <c r="J52" s="17">
        <f>+SUM(J50:J51)</f>
        <v>101551451.62323336</v>
      </c>
    </row>
  </sheetData>
  <mergeCells count="17">
    <mergeCell ref="A52:I52"/>
    <mergeCell ref="A38:J38"/>
    <mergeCell ref="A2:J2"/>
    <mergeCell ref="A43:J43"/>
    <mergeCell ref="A51:I51"/>
    <mergeCell ref="A1:J1"/>
    <mergeCell ref="A32:J32"/>
    <mergeCell ref="A50:I50"/>
    <mergeCell ref="A22:J22"/>
    <mergeCell ref="A12:J12"/>
    <mergeCell ref="A4:J4"/>
    <mergeCell ref="A11:D11"/>
    <mergeCell ref="A21:D21"/>
    <mergeCell ref="A31:D31"/>
    <mergeCell ref="A37:D37"/>
    <mergeCell ref="A42:D42"/>
    <mergeCell ref="A49:D4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showGridLines="0" workbookViewId="0">
      <selection activeCell="D26" sqref="D26:E30"/>
    </sheetView>
  </sheetViews>
  <sheetFormatPr baseColWidth="10" defaultColWidth="9.1796875" defaultRowHeight="14.5" x14ac:dyDescent="0.35"/>
  <cols>
    <col min="1" max="1" width="28" customWidth="1"/>
    <col min="2" max="6" width="20" customWidth="1"/>
  </cols>
  <sheetData>
    <row r="1" spans="1:6" x14ac:dyDescent="0.35">
      <c r="A1" s="142" t="s">
        <v>144</v>
      </c>
      <c r="B1" s="126"/>
      <c r="C1" s="126"/>
      <c r="D1" s="126"/>
      <c r="E1" s="126"/>
      <c r="F1" s="126"/>
    </row>
    <row r="2" spans="1:6" ht="28" customHeight="1" x14ac:dyDescent="0.35">
      <c r="A2" s="3" t="s">
        <v>145</v>
      </c>
      <c r="B2" s="3" t="s">
        <v>146</v>
      </c>
      <c r="C2" s="3" t="s">
        <v>147</v>
      </c>
      <c r="D2" s="3" t="s">
        <v>148</v>
      </c>
      <c r="E2" s="3" t="s">
        <v>149</v>
      </c>
      <c r="F2" s="3" t="s">
        <v>150</v>
      </c>
    </row>
    <row r="3" spans="1:6" ht="23" x14ac:dyDescent="0.35">
      <c r="A3" s="30" t="s">
        <v>23</v>
      </c>
      <c r="B3" s="5">
        <f>+PRESUPUESTO_GENERAL!E11</f>
        <v>1703250</v>
      </c>
      <c r="C3" s="5">
        <f>+PRESUPUESTO_GENERAL!F11</f>
        <v>5482380</v>
      </c>
      <c r="D3" s="5">
        <f>+PRESUPUESTO_GENERAL!G11</f>
        <v>1826565</v>
      </c>
      <c r="E3" s="5">
        <f>+PRESUPUESTO_GENERAL!H11</f>
        <v>1071330</v>
      </c>
      <c r="F3" s="11">
        <f t="shared" ref="F3:F9" si="0">+SUM(B3:E3)</f>
        <v>10083525</v>
      </c>
    </row>
    <row r="4" spans="1:6" x14ac:dyDescent="0.35">
      <c r="A4" s="31" t="s">
        <v>25</v>
      </c>
      <c r="B4" s="19">
        <f>+PRESUPUESTO_GENERAL!E21</f>
        <v>5702927.5265760003</v>
      </c>
      <c r="C4" s="19">
        <f>+PRESUPUESTO_GENERAL!F21</f>
        <v>2358150.0504000001</v>
      </c>
      <c r="D4" s="19">
        <f>+PRESUPUESTO_GENERAL!G21</f>
        <v>367973.69661600003</v>
      </c>
      <c r="E4" s="19">
        <f>+PRESUPUESTO_GENERAL!H21</f>
        <v>209044.78899999999</v>
      </c>
      <c r="F4" s="11">
        <f t="shared" si="0"/>
        <v>8638096.0625920016</v>
      </c>
    </row>
    <row r="5" spans="1:6" ht="23" x14ac:dyDescent="0.35">
      <c r="A5" s="30" t="s">
        <v>26</v>
      </c>
      <c r="B5" s="5">
        <f>+PRESUPUESTO_GENERAL!E31</f>
        <v>36423511.049120001</v>
      </c>
      <c r="C5" s="5">
        <f>+PRESUPUESTO_GENERAL!F31</f>
        <v>18432606.12290062</v>
      </c>
      <c r="D5" s="5">
        <f>+PRESUPUESTO_GENERAL!G31</f>
        <v>8728884.5684890207</v>
      </c>
      <c r="E5" s="5">
        <f>+PRESUPUESTO_GENERAL!H31</f>
        <v>2174602.5655700001</v>
      </c>
      <c r="F5" s="11">
        <f t="shared" si="0"/>
        <v>65759604.306079641</v>
      </c>
    </row>
    <row r="6" spans="1:6" x14ac:dyDescent="0.35">
      <c r="A6" s="31" t="s">
        <v>27</v>
      </c>
      <c r="B6" s="19">
        <f>+PRESUPUESTO_GENERAL!E37</f>
        <v>1095206.4100000001</v>
      </c>
      <c r="C6" s="19">
        <f>+PRESUPUESTO_GENERAL!F37</f>
        <v>724445.45750000002</v>
      </c>
      <c r="D6" s="19">
        <f>+PRESUPUESTO_GENERAL!G37</f>
        <v>88985.078999999998</v>
      </c>
      <c r="E6" s="19">
        <f>+PRESUPUESTO_GENERAL!H37</f>
        <v>75129.391000000003</v>
      </c>
      <c r="F6" s="11">
        <f t="shared" si="0"/>
        <v>1983766.3375000001</v>
      </c>
    </row>
    <row r="7" spans="1:6" x14ac:dyDescent="0.35">
      <c r="A7" s="30" t="s">
        <v>28</v>
      </c>
      <c r="B7" s="5">
        <f>+PRESUPUESTO_GENERAL!E42</f>
        <v>4270000</v>
      </c>
      <c r="C7" s="5">
        <f>+PRESUPUESTO_GENERAL!F42</f>
        <v>3790000</v>
      </c>
      <c r="D7" s="5">
        <f>+PRESUPUESTO_GENERAL!G42</f>
        <v>0</v>
      </c>
      <c r="E7" s="5">
        <f>+PRESUPUESTO_GENERAL!H42</f>
        <v>220000</v>
      </c>
      <c r="F7" s="11">
        <f t="shared" si="0"/>
        <v>8280000</v>
      </c>
    </row>
    <row r="8" spans="1:6" x14ac:dyDescent="0.35">
      <c r="A8" s="31" t="s">
        <v>29</v>
      </c>
      <c r="B8" s="19">
        <f>+PRESUPUESTO_GENERAL!E49</f>
        <v>3292000</v>
      </c>
      <c r="C8" s="19">
        <f>+PRESUPUESTO_GENERAL!F49</f>
        <v>2204000</v>
      </c>
      <c r="D8" s="19">
        <f>+PRESUPUESTO_GENERAL!G49</f>
        <v>0</v>
      </c>
      <c r="E8" s="19">
        <f>+PRESUPUESTO_GENERAL!H49</f>
        <v>305000</v>
      </c>
      <c r="F8" s="11">
        <f t="shared" si="0"/>
        <v>5801000</v>
      </c>
    </row>
    <row r="9" spans="1:6" ht="20.149999999999999" customHeight="1" x14ac:dyDescent="0.35">
      <c r="A9" s="32" t="s">
        <v>30</v>
      </c>
      <c r="B9" s="33">
        <f>+SUM(B3:B8)</f>
        <v>52486894.985696003</v>
      </c>
      <c r="C9" s="33">
        <f>+SUM(C3:C8)</f>
        <v>32991581.63080062</v>
      </c>
      <c r="D9" s="33">
        <f>+SUM(D3:D8)</f>
        <v>11012408.34410502</v>
      </c>
      <c r="E9" s="33">
        <f>+SUM(E3:E8)</f>
        <v>4055106.7455699998</v>
      </c>
      <c r="F9" s="33">
        <f t="shared" si="0"/>
        <v>100545991.70617165</v>
      </c>
    </row>
    <row r="10" spans="1:6" x14ac:dyDescent="0.35">
      <c r="A10" s="13" t="s">
        <v>31</v>
      </c>
      <c r="B10" s="106">
        <f>+B9*RESUMEN_EJECUTIVO!$E$21</f>
        <v>524868.94985695998</v>
      </c>
      <c r="C10" s="13">
        <f>+C9*RESUMEN_EJECUTIVO!$E$21</f>
        <v>329915.81630800618</v>
      </c>
      <c r="D10" s="13">
        <f>+D9*RESUMEN_EJECUTIVO!$E$21</f>
        <v>110124.0834410502</v>
      </c>
      <c r="E10" s="13">
        <f>+E9*RESUMEN_EJECUTIVO!$E$21</f>
        <v>40551.067455700002</v>
      </c>
      <c r="F10" s="14">
        <f>+F9*RESUMEN_EJECUTIVO!$E$21</f>
        <v>1005459.9170617164</v>
      </c>
    </row>
    <row r="11" spans="1:6" ht="22" customHeight="1" x14ac:dyDescent="0.35">
      <c r="A11" s="34" t="s">
        <v>151</v>
      </c>
      <c r="B11" s="35">
        <f>+SUM(B9:B10)</f>
        <v>53011763.935552962</v>
      </c>
      <c r="C11" s="35">
        <f>+SUM(C9:C10)</f>
        <v>33321497.447108626</v>
      </c>
      <c r="D11" s="35">
        <f>+SUM(D9:D10)</f>
        <v>11122532.427546071</v>
      </c>
      <c r="E11" s="35">
        <f>+SUM(E9:E10)</f>
        <v>4095657.8130256999</v>
      </c>
      <c r="F11" s="35">
        <f>+SUM(F9:F10)</f>
        <v>101551451.62323336</v>
      </c>
    </row>
    <row r="12" spans="1:6" x14ac:dyDescent="0.35">
      <c r="A12" s="36" t="s">
        <v>152</v>
      </c>
      <c r="B12" s="37">
        <f>+B11/$F$11</f>
        <v>0.52201877066447278</v>
      </c>
      <c r="C12" s="37">
        <f>+C11/$F$11</f>
        <v>0.32812428492637319</v>
      </c>
      <c r="D12" s="37">
        <f>+D11/$F$11</f>
        <v>0.10952608012745936</v>
      </c>
      <c r="E12" s="37">
        <f>+E11/$F$11</f>
        <v>4.0330864281694606E-2</v>
      </c>
      <c r="F12" s="37">
        <f>+F11/$F$11</f>
        <v>1</v>
      </c>
    </row>
    <row r="14" spans="1:6" ht="32.15" customHeight="1" x14ac:dyDescent="0.35">
      <c r="A14" s="152" t="s">
        <v>153</v>
      </c>
      <c r="B14" s="126"/>
      <c r="C14" s="126"/>
      <c r="D14" s="126"/>
      <c r="E14" s="126"/>
      <c r="F14" s="126"/>
    </row>
  </sheetData>
  <mergeCells count="2">
    <mergeCell ref="A14:F14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showGridLines="0" topLeftCell="A19" workbookViewId="0">
      <selection activeCell="F58" sqref="F58"/>
    </sheetView>
  </sheetViews>
  <sheetFormatPr baseColWidth="10" defaultColWidth="9.1796875" defaultRowHeight="14.5" x14ac:dyDescent="0.35"/>
  <cols>
    <col min="1" max="1" width="6" customWidth="1"/>
    <col min="2" max="2" width="46" customWidth="1"/>
    <col min="3" max="3" width="14" customWidth="1"/>
    <col min="4" max="4" width="16" customWidth="1"/>
    <col min="5" max="6" width="18" customWidth="1"/>
  </cols>
  <sheetData>
    <row r="1" spans="1:6" x14ac:dyDescent="0.35">
      <c r="A1" s="115" t="s">
        <v>154</v>
      </c>
      <c r="B1" s="126"/>
      <c r="C1" s="126"/>
      <c r="D1" s="126"/>
      <c r="E1" s="126"/>
      <c r="F1" s="126"/>
    </row>
    <row r="2" spans="1:6" x14ac:dyDescent="0.35">
      <c r="A2" s="151" t="s">
        <v>155</v>
      </c>
      <c r="B2" s="126"/>
      <c r="C2" s="126"/>
      <c r="D2" s="126"/>
      <c r="E2" s="126"/>
      <c r="F2" s="126"/>
    </row>
    <row r="3" spans="1:6" ht="26" x14ac:dyDescent="0.35">
      <c r="A3" s="3" t="s">
        <v>18</v>
      </c>
      <c r="B3" s="3" t="s">
        <v>156</v>
      </c>
      <c r="C3" s="3" t="s">
        <v>157</v>
      </c>
      <c r="D3" s="3" t="s">
        <v>158</v>
      </c>
      <c r="E3" s="3" t="s">
        <v>159</v>
      </c>
      <c r="F3" s="3" t="s">
        <v>160</v>
      </c>
    </row>
    <row r="4" spans="1:6" x14ac:dyDescent="0.35">
      <c r="A4" s="153" t="s">
        <v>161</v>
      </c>
      <c r="B4" s="126"/>
      <c r="C4" s="126"/>
      <c r="D4" s="126"/>
      <c r="E4" s="126"/>
      <c r="F4" s="126"/>
    </row>
    <row r="5" spans="1:6" x14ac:dyDescent="0.35">
      <c r="A5" s="4">
        <v>1</v>
      </c>
      <c r="B5" s="22" t="s">
        <v>162</v>
      </c>
      <c r="C5" s="4" t="s">
        <v>82</v>
      </c>
      <c r="D5" s="23">
        <f>+'CANT ESTR MET'!J9</f>
        <v>547.86239999999998</v>
      </c>
      <c r="E5" s="5">
        <v>8000</v>
      </c>
      <c r="F5" s="38">
        <f>+E5*D5</f>
        <v>4382899.2</v>
      </c>
    </row>
    <row r="6" spans="1:6" x14ac:dyDescent="0.35">
      <c r="A6" s="18">
        <v>2</v>
      </c>
      <c r="B6" s="26" t="s">
        <v>163</v>
      </c>
      <c r="C6" s="18" t="s">
        <v>82</v>
      </c>
      <c r="D6" s="27">
        <f>+'CANT ESTR MET'!J15</f>
        <v>561.74695199999996</v>
      </c>
      <c r="E6" s="19">
        <v>8000</v>
      </c>
      <c r="F6" s="38">
        <f t="shared" ref="F6:F57" si="0">+E6*D6</f>
        <v>4493975.6159999995</v>
      </c>
    </row>
    <row r="7" spans="1:6" x14ac:dyDescent="0.35">
      <c r="A7" s="4">
        <v>3</v>
      </c>
      <c r="B7" s="22" t="s">
        <v>164</v>
      </c>
      <c r="C7" s="4" t="s">
        <v>82</v>
      </c>
      <c r="D7" s="23">
        <f>+'CANT ESTR MET'!J25</f>
        <v>1731.7170000000001</v>
      </c>
      <c r="E7" s="5">
        <v>8000</v>
      </c>
      <c r="F7" s="38">
        <f t="shared" si="0"/>
        <v>13853736</v>
      </c>
    </row>
    <row r="8" spans="1:6" x14ac:dyDescent="0.35">
      <c r="A8" s="18">
        <v>4</v>
      </c>
      <c r="B8" s="26" t="s">
        <v>165</v>
      </c>
      <c r="C8" s="18" t="s">
        <v>82</v>
      </c>
      <c r="D8" s="27">
        <f>+'CANT ESTR MET'!J30</f>
        <v>253.28862000000001</v>
      </c>
      <c r="E8" s="19">
        <v>8000</v>
      </c>
      <c r="F8" s="38">
        <f t="shared" si="0"/>
        <v>2026308.96</v>
      </c>
    </row>
    <row r="9" spans="1:6" x14ac:dyDescent="0.35">
      <c r="A9" s="4">
        <v>5</v>
      </c>
      <c r="B9" s="22" t="s">
        <v>166</v>
      </c>
      <c r="C9" s="4" t="s">
        <v>82</v>
      </c>
      <c r="D9" s="23">
        <f>+'CANT ESTR MET'!J36</f>
        <v>380.70813113999998</v>
      </c>
      <c r="E9" s="5">
        <v>8000</v>
      </c>
      <c r="F9" s="38">
        <f t="shared" si="0"/>
        <v>3045665.0491199996</v>
      </c>
    </row>
    <row r="10" spans="1:6" x14ac:dyDescent="0.35">
      <c r="A10" s="18">
        <v>6</v>
      </c>
      <c r="B10" s="26" t="s">
        <v>167</v>
      </c>
      <c r="C10" s="18" t="s">
        <v>82</v>
      </c>
      <c r="D10" s="27">
        <f>+'CANT ESTR MET'!J44</f>
        <v>168.70000000000002</v>
      </c>
      <c r="E10" s="19">
        <f>374900/42.15</f>
        <v>8894.424673784104</v>
      </c>
      <c r="F10" s="38">
        <f t="shared" si="0"/>
        <v>1500489.4424673785</v>
      </c>
    </row>
    <row r="11" spans="1:6" x14ac:dyDescent="0.35">
      <c r="A11" s="4">
        <v>7</v>
      </c>
      <c r="B11" s="22" t="s">
        <v>168</v>
      </c>
      <c r="C11" s="4" t="s">
        <v>82</v>
      </c>
      <c r="D11" s="23">
        <f>+'CANT ESTR MET'!H59</f>
        <v>552.68242380000004</v>
      </c>
      <c r="E11" s="5">
        <v>6500</v>
      </c>
      <c r="F11" s="38">
        <f t="shared" si="0"/>
        <v>3592435.7547000004</v>
      </c>
    </row>
    <row r="12" spans="1:6" x14ac:dyDescent="0.35">
      <c r="A12" s="18">
        <v>8</v>
      </c>
      <c r="B12" s="26" t="s">
        <v>169</v>
      </c>
      <c r="C12" s="18" t="s">
        <v>170</v>
      </c>
      <c r="D12" s="27">
        <v>4.8</v>
      </c>
      <c r="E12" s="19">
        <v>15000</v>
      </c>
      <c r="F12" s="38">
        <f t="shared" si="0"/>
        <v>72000</v>
      </c>
    </row>
    <row r="13" spans="1:6" x14ac:dyDescent="0.35">
      <c r="A13" s="4">
        <v>9</v>
      </c>
      <c r="B13" s="22" t="s">
        <v>171</v>
      </c>
      <c r="C13" s="4" t="s">
        <v>82</v>
      </c>
      <c r="D13" s="23">
        <v>3</v>
      </c>
      <c r="E13" s="5">
        <v>6500</v>
      </c>
      <c r="F13" s="38">
        <f t="shared" si="0"/>
        <v>19500</v>
      </c>
    </row>
    <row r="14" spans="1:6" x14ac:dyDescent="0.35">
      <c r="A14" s="153" t="s">
        <v>172</v>
      </c>
      <c r="B14" s="126"/>
      <c r="C14" s="126"/>
      <c r="D14" s="126"/>
      <c r="E14" s="126"/>
      <c r="F14" s="126"/>
    </row>
    <row r="15" spans="1:6" ht="23" x14ac:dyDescent="0.35">
      <c r="A15" s="18">
        <v>10</v>
      </c>
      <c r="B15" s="26" t="s">
        <v>173</v>
      </c>
      <c r="C15" s="18" t="s">
        <v>174</v>
      </c>
      <c r="D15" s="27">
        <v>40</v>
      </c>
      <c r="E15" s="19">
        <v>5000</v>
      </c>
      <c r="F15" s="38">
        <f t="shared" si="0"/>
        <v>200000</v>
      </c>
    </row>
    <row r="16" spans="1:6" ht="23" x14ac:dyDescent="0.35">
      <c r="A16" s="4">
        <v>11</v>
      </c>
      <c r="B16" s="22" t="s">
        <v>175</v>
      </c>
      <c r="C16" s="4" t="s">
        <v>174</v>
      </c>
      <c r="D16" s="23">
        <v>8</v>
      </c>
      <c r="E16" s="5">
        <v>4000</v>
      </c>
      <c r="F16" s="38">
        <f t="shared" si="0"/>
        <v>32000</v>
      </c>
    </row>
    <row r="17" spans="1:6" ht="23" x14ac:dyDescent="0.35">
      <c r="A17" s="18">
        <v>12</v>
      </c>
      <c r="B17" s="26" t="s">
        <v>176</v>
      </c>
      <c r="C17" s="18" t="s">
        <v>174</v>
      </c>
      <c r="D17" s="27">
        <v>128</v>
      </c>
      <c r="E17" s="19">
        <v>5000</v>
      </c>
      <c r="F17" s="38">
        <f t="shared" si="0"/>
        <v>640000</v>
      </c>
    </row>
    <row r="18" spans="1:6" x14ac:dyDescent="0.35">
      <c r="A18" s="4">
        <v>13</v>
      </c>
      <c r="B18" s="22" t="s">
        <v>177</v>
      </c>
      <c r="C18" s="4" t="s">
        <v>174</v>
      </c>
      <c r="D18" s="23">
        <v>72</v>
      </c>
      <c r="E18" s="5">
        <v>2000</v>
      </c>
      <c r="F18" s="38">
        <f t="shared" si="0"/>
        <v>144000</v>
      </c>
    </row>
    <row r="19" spans="1:6" ht="23" x14ac:dyDescent="0.35">
      <c r="A19" s="18">
        <v>14</v>
      </c>
      <c r="B19" s="26" t="s">
        <v>178</v>
      </c>
      <c r="C19" s="18" t="s">
        <v>174</v>
      </c>
      <c r="D19" s="27">
        <v>44</v>
      </c>
      <c r="E19" s="19">
        <v>3000</v>
      </c>
      <c r="F19" s="38">
        <f t="shared" si="0"/>
        <v>132000</v>
      </c>
    </row>
    <row r="20" spans="1:6" x14ac:dyDescent="0.35">
      <c r="A20" s="4">
        <v>15</v>
      </c>
      <c r="B20" s="22" t="s">
        <v>179</v>
      </c>
      <c r="C20" s="4" t="s">
        <v>174</v>
      </c>
      <c r="D20" s="23">
        <v>84</v>
      </c>
      <c r="E20" s="5">
        <v>1000</v>
      </c>
      <c r="F20" s="38">
        <f t="shared" si="0"/>
        <v>84000</v>
      </c>
    </row>
    <row r="21" spans="1:6" x14ac:dyDescent="0.35">
      <c r="A21" s="153" t="s">
        <v>180</v>
      </c>
      <c r="B21" s="126"/>
      <c r="C21" s="126"/>
      <c r="D21" s="126"/>
      <c r="E21" s="126"/>
      <c r="F21" s="126"/>
    </row>
    <row r="22" spans="1:6" ht="23" x14ac:dyDescent="0.35">
      <c r="A22" s="18">
        <v>16</v>
      </c>
      <c r="B22" s="26" t="s">
        <v>181</v>
      </c>
      <c r="C22" s="18" t="s">
        <v>82</v>
      </c>
      <c r="D22" s="27">
        <v>31.7</v>
      </c>
      <c r="E22" s="19">
        <v>32000</v>
      </c>
      <c r="F22" s="38">
        <f t="shared" si="0"/>
        <v>1014400</v>
      </c>
    </row>
    <row r="23" spans="1:6" x14ac:dyDescent="0.35">
      <c r="A23" s="153" t="s">
        <v>182</v>
      </c>
      <c r="B23" s="126"/>
      <c r="C23" s="126"/>
      <c r="D23" s="126"/>
      <c r="E23" s="126"/>
      <c r="F23" s="126"/>
    </row>
    <row r="24" spans="1:6" ht="23" x14ac:dyDescent="0.35">
      <c r="A24" s="4">
        <v>17</v>
      </c>
      <c r="B24" s="22" t="s">
        <v>183</v>
      </c>
      <c r="C24" s="4" t="s">
        <v>184</v>
      </c>
      <c r="D24" s="23">
        <f>+'CANT PRELIM'!K34+'CANT CONCR'!K40</f>
        <v>42</v>
      </c>
      <c r="E24" s="5">
        <v>35200</v>
      </c>
      <c r="F24" s="38">
        <f t="shared" si="0"/>
        <v>1478400</v>
      </c>
    </row>
    <row r="25" spans="1:6" x14ac:dyDescent="0.35">
      <c r="A25" s="18">
        <v>18</v>
      </c>
      <c r="B25" s="26" t="s">
        <v>185</v>
      </c>
      <c r="C25" s="18" t="s">
        <v>73</v>
      </c>
      <c r="D25" s="27">
        <f>+'CANT PRELIM'!K35+'CANT CONCR'!K41</f>
        <v>5</v>
      </c>
      <c r="E25" s="19">
        <v>75000</v>
      </c>
      <c r="F25" s="38">
        <f t="shared" si="0"/>
        <v>375000</v>
      </c>
    </row>
    <row r="26" spans="1:6" x14ac:dyDescent="0.35">
      <c r="A26" s="4">
        <v>19</v>
      </c>
      <c r="B26" s="22" t="s">
        <v>186</v>
      </c>
      <c r="C26" s="4" t="s">
        <v>73</v>
      </c>
      <c r="D26" s="23">
        <f>+'CANT PRELIM'!K36+'CANT CONCR'!K42</f>
        <v>7</v>
      </c>
      <c r="E26" s="5">
        <v>95000</v>
      </c>
      <c r="F26" s="38">
        <f t="shared" si="0"/>
        <v>665000</v>
      </c>
    </row>
    <row r="27" spans="1:6" x14ac:dyDescent="0.35">
      <c r="A27" s="18">
        <v>20</v>
      </c>
      <c r="B27" s="26" t="s">
        <v>187</v>
      </c>
      <c r="C27" s="18" t="s">
        <v>184</v>
      </c>
      <c r="D27" s="27">
        <v>2</v>
      </c>
      <c r="E27" s="19">
        <v>68000</v>
      </c>
      <c r="F27" s="38">
        <f t="shared" si="0"/>
        <v>136000</v>
      </c>
    </row>
    <row r="28" spans="1:6" x14ac:dyDescent="0.35">
      <c r="A28" s="4">
        <v>21</v>
      </c>
      <c r="B28" s="22" t="s">
        <v>188</v>
      </c>
      <c r="C28" s="4" t="s">
        <v>66</v>
      </c>
      <c r="D28" s="23">
        <v>1</v>
      </c>
      <c r="E28" s="5">
        <v>185000</v>
      </c>
      <c r="F28" s="38">
        <f t="shared" si="0"/>
        <v>185000</v>
      </c>
    </row>
    <row r="29" spans="1:6" x14ac:dyDescent="0.35">
      <c r="A29" s="153" t="s">
        <v>189</v>
      </c>
      <c r="B29" s="126"/>
      <c r="C29" s="126"/>
      <c r="D29" s="126"/>
      <c r="E29" s="126"/>
      <c r="F29" s="126"/>
    </row>
    <row r="30" spans="1:6" x14ac:dyDescent="0.35">
      <c r="A30" s="18">
        <v>24</v>
      </c>
      <c r="B30" s="26" t="s">
        <v>190</v>
      </c>
      <c r="C30" s="18" t="s">
        <v>82</v>
      </c>
      <c r="D30" s="27">
        <f>+'CANT ACEROS'!H23</f>
        <v>102.04404000000001</v>
      </c>
      <c r="E30" s="19">
        <v>4998</v>
      </c>
      <c r="F30" s="38">
        <f t="shared" si="0"/>
        <v>510016.11192000005</v>
      </c>
    </row>
    <row r="31" spans="1:6" x14ac:dyDescent="0.35">
      <c r="A31" s="4">
        <v>25</v>
      </c>
      <c r="B31" s="22" t="s">
        <v>191</v>
      </c>
      <c r="C31" s="4" t="s">
        <v>82</v>
      </c>
      <c r="D31" s="23">
        <f>+'CANT ACEROS'!H33</f>
        <v>59.959600000000002</v>
      </c>
      <c r="E31" s="5">
        <v>4998</v>
      </c>
      <c r="F31" s="38">
        <f t="shared" si="0"/>
        <v>299678.0808</v>
      </c>
    </row>
    <row r="32" spans="1:6" x14ac:dyDescent="0.35">
      <c r="A32" s="18">
        <v>26</v>
      </c>
      <c r="B32" s="26" t="s">
        <v>192</v>
      </c>
      <c r="C32" s="18" t="s">
        <v>82</v>
      </c>
      <c r="D32" s="27">
        <f>+'CANT ACEROS'!H43</f>
        <v>77.828800000000001</v>
      </c>
      <c r="E32" s="19">
        <v>4998</v>
      </c>
      <c r="F32" s="38">
        <f t="shared" si="0"/>
        <v>388988.34240000002</v>
      </c>
    </row>
    <row r="33" spans="1:6" x14ac:dyDescent="0.35">
      <c r="A33" s="4">
        <v>27</v>
      </c>
      <c r="B33" s="22" t="s">
        <v>193</v>
      </c>
      <c r="C33" s="4" t="s">
        <v>194</v>
      </c>
      <c r="D33" s="23">
        <v>1</v>
      </c>
      <c r="E33" s="5">
        <v>38000</v>
      </c>
      <c r="F33" s="38">
        <f t="shared" si="0"/>
        <v>38000</v>
      </c>
    </row>
    <row r="34" spans="1:6" x14ac:dyDescent="0.35">
      <c r="A34" s="153" t="s">
        <v>195</v>
      </c>
      <c r="B34" s="126"/>
      <c r="C34" s="126"/>
      <c r="D34" s="126"/>
      <c r="E34" s="126"/>
      <c r="F34" s="126"/>
    </row>
    <row r="35" spans="1:6" ht="23" x14ac:dyDescent="0.35">
      <c r="A35" s="18">
        <v>28</v>
      </c>
      <c r="B35" s="26" t="s">
        <v>196</v>
      </c>
      <c r="C35" s="18" t="s">
        <v>63</v>
      </c>
      <c r="D35" s="27">
        <f>13*5.9+2*1.66</f>
        <v>80.02</v>
      </c>
      <c r="E35" s="19">
        <v>175000</v>
      </c>
      <c r="F35" s="38">
        <f t="shared" si="0"/>
        <v>14003500</v>
      </c>
    </row>
    <row r="36" spans="1:6" x14ac:dyDescent="0.35">
      <c r="A36" s="4">
        <v>29</v>
      </c>
      <c r="B36" s="22" t="s">
        <v>197</v>
      </c>
      <c r="C36" s="4" t="s">
        <v>60</v>
      </c>
      <c r="D36" s="23">
        <v>153</v>
      </c>
      <c r="E36" s="5">
        <v>109800</v>
      </c>
      <c r="F36" s="38">
        <f t="shared" si="0"/>
        <v>16799400</v>
      </c>
    </row>
    <row r="37" spans="1:6" x14ac:dyDescent="0.35">
      <c r="A37" s="18">
        <v>30</v>
      </c>
      <c r="B37" s="26" t="s">
        <v>198</v>
      </c>
      <c r="C37" s="18" t="s">
        <v>174</v>
      </c>
      <c r="D37" s="27">
        <v>18</v>
      </c>
      <c r="E37" s="19">
        <v>88000</v>
      </c>
      <c r="F37" s="38">
        <f t="shared" si="0"/>
        <v>1584000</v>
      </c>
    </row>
    <row r="38" spans="1:6" x14ac:dyDescent="0.35">
      <c r="A38" s="4">
        <v>31</v>
      </c>
      <c r="B38" s="109" t="s">
        <v>619</v>
      </c>
      <c r="C38" s="4" t="s">
        <v>174</v>
      </c>
      <c r="D38" s="23">
        <v>2</v>
      </c>
      <c r="E38" s="5">
        <f>+E37*4</f>
        <v>352000</v>
      </c>
      <c r="F38" s="38">
        <f t="shared" si="0"/>
        <v>704000</v>
      </c>
    </row>
    <row r="39" spans="1:6" x14ac:dyDescent="0.35">
      <c r="A39" s="18">
        <v>32</v>
      </c>
      <c r="B39" s="26" t="s">
        <v>199</v>
      </c>
      <c r="C39" s="18" t="s">
        <v>82</v>
      </c>
      <c r="D39" s="27">
        <v>8</v>
      </c>
      <c r="E39" s="19">
        <v>8000</v>
      </c>
      <c r="F39" s="38">
        <f t="shared" si="0"/>
        <v>64000</v>
      </c>
    </row>
    <row r="40" spans="1:6" x14ac:dyDescent="0.35">
      <c r="A40" s="153" t="s">
        <v>200</v>
      </c>
      <c r="B40" s="126"/>
      <c r="C40" s="126"/>
      <c r="D40" s="126"/>
      <c r="E40" s="126"/>
      <c r="F40" s="126"/>
    </row>
    <row r="41" spans="1:6" x14ac:dyDescent="0.35">
      <c r="A41" s="4">
        <v>33</v>
      </c>
      <c r="B41" s="22" t="s">
        <v>201</v>
      </c>
      <c r="C41" s="4" t="s">
        <v>73</v>
      </c>
      <c r="D41" s="23">
        <f>+'CANT PRELIM'!G25*0.1</f>
        <v>0.8145</v>
      </c>
      <c r="E41" s="5">
        <v>75000</v>
      </c>
      <c r="F41" s="38">
        <f t="shared" si="0"/>
        <v>61087.5</v>
      </c>
    </row>
    <row r="42" spans="1:6" x14ac:dyDescent="0.35">
      <c r="A42" s="18">
        <v>34</v>
      </c>
      <c r="B42" s="110" t="s">
        <v>620</v>
      </c>
      <c r="C42" s="18" t="s">
        <v>60</v>
      </c>
      <c r="D42" s="27">
        <v>13</v>
      </c>
      <c r="E42" s="19">
        <v>38000</v>
      </c>
      <c r="F42" s="38">
        <f t="shared" si="0"/>
        <v>494000</v>
      </c>
    </row>
    <row r="43" spans="1:6" x14ac:dyDescent="0.35">
      <c r="A43" s="4">
        <v>35</v>
      </c>
      <c r="B43" s="22" t="s">
        <v>202</v>
      </c>
      <c r="C43" s="4" t="s">
        <v>184</v>
      </c>
      <c r="D43" s="23">
        <f>ROUND((D42*0.02*9),0)</f>
        <v>2</v>
      </c>
      <c r="E43" s="5">
        <v>28500</v>
      </c>
      <c r="F43" s="38">
        <f t="shared" si="0"/>
        <v>57000</v>
      </c>
    </row>
    <row r="44" spans="1:6" x14ac:dyDescent="0.35">
      <c r="A44" s="18">
        <v>36</v>
      </c>
      <c r="B44" s="110" t="s">
        <v>621</v>
      </c>
      <c r="C44" s="18" t="s">
        <v>63</v>
      </c>
      <c r="D44" s="27">
        <v>10</v>
      </c>
      <c r="E44" s="19">
        <v>2000</v>
      </c>
      <c r="F44" s="38">
        <f t="shared" si="0"/>
        <v>20000</v>
      </c>
    </row>
    <row r="45" spans="1:6" x14ac:dyDescent="0.35">
      <c r="A45" s="4">
        <v>37</v>
      </c>
      <c r="B45" s="22" t="s">
        <v>203</v>
      </c>
      <c r="C45" s="4" t="s">
        <v>60</v>
      </c>
      <c r="D45" s="23">
        <f>+'CANT PRELIM'!G25</f>
        <v>8.1449999999999996</v>
      </c>
      <c r="E45" s="5">
        <v>12500</v>
      </c>
      <c r="F45" s="38">
        <f t="shared" si="0"/>
        <v>101812.5</v>
      </c>
    </row>
    <row r="46" spans="1:6" x14ac:dyDescent="0.35">
      <c r="A46" s="153" t="s">
        <v>204</v>
      </c>
      <c r="B46" s="126"/>
      <c r="C46" s="126"/>
      <c r="D46" s="126"/>
      <c r="E46" s="126"/>
      <c r="F46" s="126"/>
    </row>
    <row r="47" spans="1:6" x14ac:dyDescent="0.35">
      <c r="A47" s="18">
        <v>38</v>
      </c>
      <c r="B47" s="26" t="s">
        <v>205</v>
      </c>
      <c r="C47" s="18" t="s">
        <v>184</v>
      </c>
      <c r="D47" s="27">
        <f>ROUND((PRESUPUESTO_GENERAL!D39*0.02*9),0)</f>
        <v>18</v>
      </c>
      <c r="E47" s="19">
        <v>35200</v>
      </c>
      <c r="F47" s="38">
        <f t="shared" si="0"/>
        <v>633600</v>
      </c>
    </row>
    <row r="48" spans="1:6" x14ac:dyDescent="0.35">
      <c r="A48" s="4">
        <v>39</v>
      </c>
      <c r="B48" s="22" t="s">
        <v>206</v>
      </c>
      <c r="C48" s="4" t="s">
        <v>184</v>
      </c>
      <c r="D48" s="23">
        <f>ROUND((PRESUPUESTO_GENERAL!D40/6),0)</f>
        <v>17</v>
      </c>
      <c r="E48" s="5">
        <v>22000</v>
      </c>
      <c r="F48" s="38">
        <f t="shared" si="0"/>
        <v>374000</v>
      </c>
    </row>
    <row r="49" spans="1:6" x14ac:dyDescent="0.35">
      <c r="A49" s="18">
        <v>40</v>
      </c>
      <c r="B49" s="26" t="s">
        <v>207</v>
      </c>
      <c r="C49" s="18" t="s">
        <v>73</v>
      </c>
      <c r="D49" s="27">
        <f>+PRESUPUESTO_GENERAL!D39*0.02*0.9</f>
        <v>1.8</v>
      </c>
      <c r="E49" s="19">
        <v>65000</v>
      </c>
      <c r="F49" s="38">
        <f t="shared" si="0"/>
        <v>117000</v>
      </c>
    </row>
    <row r="50" spans="1:6" x14ac:dyDescent="0.35">
      <c r="A50" s="18">
        <v>44</v>
      </c>
      <c r="B50" s="26" t="s">
        <v>208</v>
      </c>
      <c r="C50" s="18" t="s">
        <v>66</v>
      </c>
      <c r="D50" s="27">
        <v>12</v>
      </c>
      <c r="E50" s="19">
        <v>85000</v>
      </c>
      <c r="F50" s="38">
        <f t="shared" si="0"/>
        <v>1020000</v>
      </c>
    </row>
    <row r="51" spans="1:6" x14ac:dyDescent="0.35">
      <c r="A51" s="4">
        <v>45</v>
      </c>
      <c r="B51" s="22" t="s">
        <v>209</v>
      </c>
      <c r="C51" s="4" t="s">
        <v>66</v>
      </c>
      <c r="D51" s="23">
        <v>8</v>
      </c>
      <c r="E51" s="5">
        <v>72000</v>
      </c>
      <c r="F51" s="38">
        <f t="shared" si="0"/>
        <v>576000</v>
      </c>
    </row>
    <row r="52" spans="1:6" x14ac:dyDescent="0.35">
      <c r="A52" s="153" t="s">
        <v>210</v>
      </c>
      <c r="B52" s="126"/>
      <c r="C52" s="126"/>
      <c r="D52" s="126"/>
      <c r="E52" s="126"/>
      <c r="F52" s="126"/>
    </row>
    <row r="53" spans="1:6" x14ac:dyDescent="0.35">
      <c r="A53" s="18">
        <v>46</v>
      </c>
      <c r="B53" s="26" t="s">
        <v>211</v>
      </c>
      <c r="C53" s="18" t="s">
        <v>91</v>
      </c>
      <c r="D53" s="27">
        <v>1</v>
      </c>
      <c r="E53" s="19">
        <v>1250000</v>
      </c>
      <c r="F53" s="38">
        <f t="shared" si="0"/>
        <v>1250000</v>
      </c>
    </row>
    <row r="54" spans="1:6" x14ac:dyDescent="0.35">
      <c r="A54" s="4">
        <v>47</v>
      </c>
      <c r="B54" s="22" t="s">
        <v>212</v>
      </c>
      <c r="C54" s="4" t="s">
        <v>66</v>
      </c>
      <c r="D54" s="23">
        <v>1</v>
      </c>
      <c r="E54" s="5">
        <v>550000</v>
      </c>
      <c r="F54" s="38">
        <f t="shared" si="0"/>
        <v>550000</v>
      </c>
    </row>
    <row r="55" spans="1:6" x14ac:dyDescent="0.35">
      <c r="A55" s="18">
        <v>48</v>
      </c>
      <c r="B55" s="26" t="s">
        <v>213</v>
      </c>
      <c r="C55" s="18" t="s">
        <v>66</v>
      </c>
      <c r="D55" s="27">
        <v>20</v>
      </c>
      <c r="E55" s="19">
        <v>32000</v>
      </c>
      <c r="F55" s="38">
        <f t="shared" si="0"/>
        <v>640000</v>
      </c>
    </row>
    <row r="56" spans="1:6" x14ac:dyDescent="0.35">
      <c r="A56" s="4">
        <v>49</v>
      </c>
      <c r="B56" s="22" t="s">
        <v>214</v>
      </c>
      <c r="C56" s="4" t="s">
        <v>66</v>
      </c>
      <c r="D56" s="23">
        <v>2</v>
      </c>
      <c r="E56" s="5">
        <v>22000</v>
      </c>
      <c r="F56" s="38">
        <f t="shared" si="0"/>
        <v>44000</v>
      </c>
    </row>
    <row r="57" spans="1:6" x14ac:dyDescent="0.35">
      <c r="A57" s="18">
        <v>50</v>
      </c>
      <c r="B57" s="26" t="s">
        <v>215</v>
      </c>
      <c r="C57" s="18" t="s">
        <v>66</v>
      </c>
      <c r="D57" s="27">
        <v>15</v>
      </c>
      <c r="E57" s="19">
        <v>85000</v>
      </c>
      <c r="F57" s="38">
        <f t="shared" si="0"/>
        <v>1275000</v>
      </c>
    </row>
    <row r="58" spans="1:6" x14ac:dyDescent="0.35">
      <c r="A58" s="154" t="s">
        <v>216</v>
      </c>
      <c r="B58" s="126"/>
      <c r="C58" s="126"/>
      <c r="D58" s="126"/>
      <c r="E58" s="126"/>
      <c r="F58" s="39">
        <f>+SUM(F5:F57)</f>
        <v>79677892.557407379</v>
      </c>
    </row>
    <row r="60" spans="1:6" x14ac:dyDescent="0.35">
      <c r="A60" s="139" t="s">
        <v>217</v>
      </c>
      <c r="B60" s="126"/>
      <c r="C60" s="126"/>
      <c r="D60" s="126"/>
      <c r="E60" s="126"/>
      <c r="F60" s="126"/>
    </row>
  </sheetData>
  <mergeCells count="13">
    <mergeCell ref="A58:E58"/>
    <mergeCell ref="A4:F4"/>
    <mergeCell ref="A46:F46"/>
    <mergeCell ref="A21:F21"/>
    <mergeCell ref="A60:F60"/>
    <mergeCell ref="A52:F52"/>
    <mergeCell ref="A2:F2"/>
    <mergeCell ref="A40:F40"/>
    <mergeCell ref="A34:F34"/>
    <mergeCell ref="A14:F14"/>
    <mergeCell ref="A1:F1"/>
    <mergeCell ref="A23:F23"/>
    <mergeCell ref="A29:F2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5F2A-9C58-4FE5-A7B2-2FA3531B6E72}">
  <dimension ref="A1:F81"/>
  <sheetViews>
    <sheetView showGridLines="0" tabSelected="1" topLeftCell="A76" workbookViewId="0">
      <selection activeCell="F9" sqref="F9"/>
    </sheetView>
  </sheetViews>
  <sheetFormatPr baseColWidth="10" defaultColWidth="9.1796875" defaultRowHeight="14.5" x14ac:dyDescent="0.35"/>
  <cols>
    <col min="1" max="1" width="6" customWidth="1"/>
    <col min="2" max="2" width="46" customWidth="1"/>
    <col min="3" max="3" width="14" customWidth="1"/>
    <col min="4" max="4" width="16" customWidth="1"/>
    <col min="5" max="5" width="10.54296875" bestFit="1" customWidth="1"/>
    <col min="6" max="6" width="17.08984375" customWidth="1"/>
  </cols>
  <sheetData>
    <row r="1" spans="1:6" ht="14.5" customHeight="1" x14ac:dyDescent="0.35">
      <c r="A1" s="115" t="s">
        <v>677</v>
      </c>
      <c r="B1" s="115"/>
      <c r="C1" s="115"/>
      <c r="D1" s="115"/>
      <c r="E1" s="115"/>
      <c r="F1" s="115"/>
    </row>
    <row r="2" spans="1:6" x14ac:dyDescent="0.35">
      <c r="A2" s="116"/>
      <c r="B2" s="116"/>
      <c r="C2" s="116"/>
      <c r="D2" s="116"/>
      <c r="E2" s="116"/>
      <c r="F2" s="116"/>
    </row>
    <row r="3" spans="1:6" ht="26" x14ac:dyDescent="0.35">
      <c r="A3" s="3" t="s">
        <v>18</v>
      </c>
      <c r="B3" s="3" t="s">
        <v>156</v>
      </c>
      <c r="C3" s="3" t="s">
        <v>676</v>
      </c>
      <c r="D3" s="3" t="s">
        <v>158</v>
      </c>
      <c r="E3" s="3" t="s">
        <v>678</v>
      </c>
      <c r="F3" s="3" t="s">
        <v>679</v>
      </c>
    </row>
    <row r="4" spans="1:6" ht="14.5" customHeight="1" x14ac:dyDescent="0.35">
      <c r="A4" s="117" t="s">
        <v>669</v>
      </c>
      <c r="B4" s="118"/>
      <c r="C4" s="118"/>
      <c r="D4" s="118"/>
      <c r="E4" s="118"/>
      <c r="F4" s="118"/>
    </row>
    <row r="5" spans="1:6" x14ac:dyDescent="0.35">
      <c r="A5" s="4">
        <v>1</v>
      </c>
      <c r="B5" s="22" t="s">
        <v>622</v>
      </c>
      <c r="C5" s="4" t="s">
        <v>66</v>
      </c>
      <c r="D5" s="23">
        <v>3</v>
      </c>
      <c r="E5" s="112"/>
      <c r="F5" s="112">
        <f>+D5*E5</f>
        <v>0</v>
      </c>
    </row>
    <row r="6" spans="1:6" x14ac:dyDescent="0.35">
      <c r="A6" s="18">
        <v>2</v>
      </c>
      <c r="B6" s="26" t="s">
        <v>623</v>
      </c>
      <c r="C6" s="4" t="s">
        <v>66</v>
      </c>
      <c r="D6" s="27">
        <v>2</v>
      </c>
      <c r="E6" s="112"/>
      <c r="F6" s="112">
        <f t="shared" ref="F6:F68" si="0">+D6*E6</f>
        <v>0</v>
      </c>
    </row>
    <row r="7" spans="1:6" x14ac:dyDescent="0.35">
      <c r="A7" s="4">
        <v>3</v>
      </c>
      <c r="B7" s="22" t="s">
        <v>627</v>
      </c>
      <c r="C7" s="4" t="s">
        <v>66</v>
      </c>
      <c r="D7" s="23">
        <v>8</v>
      </c>
      <c r="E7" s="112"/>
      <c r="F7" s="112">
        <f t="shared" si="0"/>
        <v>0</v>
      </c>
    </row>
    <row r="8" spans="1:6" x14ac:dyDescent="0.35">
      <c r="A8" s="18">
        <v>4</v>
      </c>
      <c r="B8" s="26" t="s">
        <v>626</v>
      </c>
      <c r="C8" s="4" t="s">
        <v>66</v>
      </c>
      <c r="D8" s="27">
        <v>1</v>
      </c>
      <c r="E8" s="112"/>
      <c r="F8" s="112">
        <f t="shared" si="0"/>
        <v>0</v>
      </c>
    </row>
    <row r="9" spans="1:6" x14ac:dyDescent="0.35">
      <c r="A9" s="4">
        <v>5</v>
      </c>
      <c r="B9" s="22" t="s">
        <v>630</v>
      </c>
      <c r="C9" s="4" t="s">
        <v>66</v>
      </c>
      <c r="D9" s="23">
        <v>1</v>
      </c>
      <c r="E9" s="112"/>
      <c r="F9" s="112">
        <f t="shared" si="0"/>
        <v>0</v>
      </c>
    </row>
    <row r="10" spans="1:6" x14ac:dyDescent="0.35">
      <c r="A10" s="18">
        <v>6</v>
      </c>
      <c r="B10" s="22" t="s">
        <v>631</v>
      </c>
      <c r="C10" s="4" t="s">
        <v>66</v>
      </c>
      <c r="D10" s="23">
        <v>1</v>
      </c>
      <c r="E10" s="112"/>
      <c r="F10" s="112">
        <f t="shared" si="0"/>
        <v>0</v>
      </c>
    </row>
    <row r="11" spans="1:6" x14ac:dyDescent="0.35">
      <c r="A11" s="4">
        <v>7</v>
      </c>
      <c r="B11" s="26" t="s">
        <v>624</v>
      </c>
      <c r="C11" s="4" t="s">
        <v>66</v>
      </c>
      <c r="D11" s="27">
        <v>4</v>
      </c>
      <c r="E11" s="112"/>
      <c r="F11" s="112">
        <f t="shared" si="0"/>
        <v>0</v>
      </c>
    </row>
    <row r="12" spans="1:6" x14ac:dyDescent="0.35">
      <c r="A12" s="18">
        <v>8</v>
      </c>
      <c r="B12" s="22" t="s">
        <v>632</v>
      </c>
      <c r="C12" s="4" t="s">
        <v>66</v>
      </c>
      <c r="D12" s="23">
        <v>6</v>
      </c>
      <c r="E12" s="112"/>
      <c r="F12" s="112">
        <f t="shared" si="0"/>
        <v>0</v>
      </c>
    </row>
    <row r="13" spans="1:6" x14ac:dyDescent="0.35">
      <c r="A13" s="4">
        <v>9</v>
      </c>
      <c r="B13" s="22" t="s">
        <v>633</v>
      </c>
      <c r="C13" s="4" t="s">
        <v>66</v>
      </c>
      <c r="D13" s="23">
        <v>1</v>
      </c>
      <c r="E13" s="112"/>
      <c r="F13" s="112">
        <f t="shared" si="0"/>
        <v>0</v>
      </c>
    </row>
    <row r="14" spans="1:6" x14ac:dyDescent="0.35">
      <c r="A14" s="18">
        <v>10</v>
      </c>
      <c r="B14" s="22" t="s">
        <v>634</v>
      </c>
      <c r="C14" s="4" t="s">
        <v>66</v>
      </c>
      <c r="D14" s="23">
        <v>1</v>
      </c>
      <c r="E14" s="112"/>
      <c r="F14" s="112">
        <f t="shared" si="0"/>
        <v>0</v>
      </c>
    </row>
    <row r="15" spans="1:6" x14ac:dyDescent="0.35">
      <c r="A15" s="4">
        <v>11</v>
      </c>
      <c r="B15" s="22" t="s">
        <v>635</v>
      </c>
      <c r="C15" s="4" t="s">
        <v>66</v>
      </c>
      <c r="D15" s="23">
        <v>18</v>
      </c>
      <c r="E15" s="112"/>
      <c r="F15" s="112">
        <f t="shared" si="0"/>
        <v>0</v>
      </c>
    </row>
    <row r="16" spans="1:6" x14ac:dyDescent="0.35">
      <c r="A16" s="18">
        <v>12</v>
      </c>
      <c r="B16" s="22" t="s">
        <v>636</v>
      </c>
      <c r="C16" s="4" t="s">
        <v>66</v>
      </c>
      <c r="D16" s="23">
        <v>2</v>
      </c>
      <c r="E16" s="112"/>
      <c r="F16" s="112">
        <f t="shared" si="0"/>
        <v>0</v>
      </c>
    </row>
    <row r="17" spans="1:6" x14ac:dyDescent="0.35">
      <c r="A17" s="4">
        <v>13</v>
      </c>
      <c r="B17" s="22" t="s">
        <v>637</v>
      </c>
      <c r="C17" s="4" t="s">
        <v>66</v>
      </c>
      <c r="D17" s="23">
        <v>36</v>
      </c>
      <c r="E17" s="112"/>
      <c r="F17" s="112">
        <f t="shared" si="0"/>
        <v>0</v>
      </c>
    </row>
    <row r="18" spans="1:6" x14ac:dyDescent="0.35">
      <c r="A18" s="18">
        <v>14</v>
      </c>
      <c r="B18" s="22" t="s">
        <v>638</v>
      </c>
      <c r="C18" s="4" t="s">
        <v>66</v>
      </c>
      <c r="D18" s="23">
        <v>8</v>
      </c>
      <c r="E18" s="112"/>
      <c r="F18" s="112">
        <f t="shared" si="0"/>
        <v>0</v>
      </c>
    </row>
    <row r="19" spans="1:6" x14ac:dyDescent="0.35">
      <c r="A19" s="4">
        <v>15</v>
      </c>
      <c r="B19" s="22" t="s">
        <v>639</v>
      </c>
      <c r="C19" s="4" t="s">
        <v>66</v>
      </c>
      <c r="D19" s="23">
        <v>16</v>
      </c>
      <c r="E19" s="112"/>
      <c r="F19" s="112">
        <f t="shared" si="0"/>
        <v>0</v>
      </c>
    </row>
    <row r="20" spans="1:6" x14ac:dyDescent="0.35">
      <c r="A20" s="18">
        <v>16</v>
      </c>
      <c r="B20" s="22" t="s">
        <v>640</v>
      </c>
      <c r="C20" s="4" t="s">
        <v>66</v>
      </c>
      <c r="D20" s="23">
        <v>4</v>
      </c>
      <c r="E20" s="112"/>
      <c r="F20" s="112">
        <f t="shared" si="0"/>
        <v>0</v>
      </c>
    </row>
    <row r="21" spans="1:6" x14ac:dyDescent="0.35">
      <c r="A21" s="4">
        <v>17</v>
      </c>
      <c r="B21" s="22" t="s">
        <v>641</v>
      </c>
      <c r="C21" s="4" t="s">
        <v>66</v>
      </c>
      <c r="D21" s="23">
        <v>4</v>
      </c>
      <c r="E21" s="112"/>
      <c r="F21" s="112">
        <f t="shared" si="0"/>
        <v>0</v>
      </c>
    </row>
    <row r="22" spans="1:6" x14ac:dyDescent="0.35">
      <c r="A22" s="18">
        <v>18</v>
      </c>
      <c r="B22" s="22" t="s">
        <v>642</v>
      </c>
      <c r="C22" s="4" t="s">
        <v>66</v>
      </c>
      <c r="D22" s="23">
        <v>4</v>
      </c>
      <c r="E22" s="112"/>
      <c r="F22" s="112">
        <f t="shared" si="0"/>
        <v>0</v>
      </c>
    </row>
    <row r="23" spans="1:6" x14ac:dyDescent="0.35">
      <c r="A23" s="4">
        <v>19</v>
      </c>
      <c r="B23" s="22" t="s">
        <v>643</v>
      </c>
      <c r="C23" s="4" t="s">
        <v>66</v>
      </c>
      <c r="D23" s="23">
        <v>10</v>
      </c>
      <c r="E23" s="112"/>
      <c r="F23" s="112">
        <f t="shared" si="0"/>
        <v>0</v>
      </c>
    </row>
    <row r="24" spans="1:6" x14ac:dyDescent="0.35">
      <c r="A24" s="18">
        <v>20</v>
      </c>
      <c r="B24" s="22" t="s">
        <v>644</v>
      </c>
      <c r="C24" s="4" t="s">
        <v>66</v>
      </c>
      <c r="D24" s="23">
        <v>10</v>
      </c>
      <c r="E24" s="112"/>
      <c r="F24" s="112">
        <f t="shared" si="0"/>
        <v>0</v>
      </c>
    </row>
    <row r="25" spans="1:6" x14ac:dyDescent="0.35">
      <c r="A25" s="4">
        <v>21</v>
      </c>
      <c r="B25" s="22" t="s">
        <v>645</v>
      </c>
      <c r="C25" s="4" t="s">
        <v>66</v>
      </c>
      <c r="D25" s="23">
        <v>2</v>
      </c>
      <c r="E25" s="112"/>
      <c r="F25" s="112">
        <f t="shared" si="0"/>
        <v>0</v>
      </c>
    </row>
    <row r="26" spans="1:6" x14ac:dyDescent="0.35">
      <c r="A26" s="18">
        <v>22</v>
      </c>
      <c r="B26" s="22" t="s">
        <v>646</v>
      </c>
      <c r="C26" s="4" t="s">
        <v>66</v>
      </c>
      <c r="D26" s="23">
        <v>1</v>
      </c>
      <c r="E26" s="112"/>
      <c r="F26" s="112">
        <f t="shared" si="0"/>
        <v>0</v>
      </c>
    </row>
    <row r="27" spans="1:6" x14ac:dyDescent="0.35">
      <c r="A27" s="18">
        <v>22</v>
      </c>
      <c r="B27" s="22" t="s">
        <v>648</v>
      </c>
      <c r="C27" s="4" t="s">
        <v>66</v>
      </c>
      <c r="D27" s="23">
        <v>2</v>
      </c>
      <c r="E27" s="112"/>
      <c r="F27" s="112">
        <f t="shared" si="0"/>
        <v>0</v>
      </c>
    </row>
    <row r="28" spans="1:6" x14ac:dyDescent="0.35">
      <c r="A28" s="4">
        <v>23</v>
      </c>
      <c r="B28" s="22" t="s">
        <v>649</v>
      </c>
      <c r="C28" s="4" t="s">
        <v>66</v>
      </c>
      <c r="D28" s="23">
        <v>2</v>
      </c>
      <c r="E28" s="112"/>
      <c r="F28" s="112">
        <f t="shared" si="0"/>
        <v>0</v>
      </c>
    </row>
    <row r="29" spans="1:6" x14ac:dyDescent="0.35">
      <c r="A29" s="4">
        <v>25</v>
      </c>
      <c r="B29" s="22" t="s">
        <v>647</v>
      </c>
      <c r="C29" s="4" t="s">
        <v>66</v>
      </c>
      <c r="D29" s="23">
        <v>1</v>
      </c>
      <c r="E29" s="112"/>
      <c r="F29" s="112">
        <f t="shared" si="0"/>
        <v>0</v>
      </c>
    </row>
    <row r="30" spans="1:6" x14ac:dyDescent="0.35">
      <c r="A30" s="18">
        <v>26</v>
      </c>
      <c r="B30" s="22" t="s">
        <v>650</v>
      </c>
      <c r="C30" s="4" t="s">
        <v>66</v>
      </c>
      <c r="D30" s="23">
        <v>2</v>
      </c>
      <c r="E30" s="112"/>
      <c r="F30" s="112">
        <f t="shared" si="0"/>
        <v>0</v>
      </c>
    </row>
    <row r="31" spans="1:6" x14ac:dyDescent="0.35">
      <c r="A31" s="18">
        <v>26</v>
      </c>
      <c r="B31" s="22" t="s">
        <v>651</v>
      </c>
      <c r="C31" s="4" t="s">
        <v>66</v>
      </c>
      <c r="D31" s="23">
        <v>2</v>
      </c>
      <c r="E31" s="112"/>
      <c r="F31" s="112">
        <f t="shared" si="0"/>
        <v>0</v>
      </c>
    </row>
    <row r="32" spans="1:6" x14ac:dyDescent="0.35">
      <c r="A32" s="4">
        <v>27</v>
      </c>
      <c r="B32" s="26" t="s">
        <v>625</v>
      </c>
      <c r="C32" s="4" t="s">
        <v>66</v>
      </c>
      <c r="D32" s="27">
        <v>1</v>
      </c>
      <c r="E32" s="112"/>
      <c r="F32" s="112">
        <f t="shared" si="0"/>
        <v>0</v>
      </c>
    </row>
    <row r="33" spans="1:6" x14ac:dyDescent="0.35">
      <c r="A33" s="4">
        <v>27</v>
      </c>
      <c r="B33" s="26" t="s">
        <v>652</v>
      </c>
      <c r="C33" s="4" t="s">
        <v>66</v>
      </c>
      <c r="D33" s="27">
        <v>2</v>
      </c>
      <c r="E33" s="112"/>
      <c r="F33" s="112">
        <f t="shared" si="0"/>
        <v>0</v>
      </c>
    </row>
    <row r="34" spans="1:6" x14ac:dyDescent="0.35">
      <c r="A34" s="18">
        <v>28</v>
      </c>
      <c r="B34" s="22" t="s">
        <v>171</v>
      </c>
      <c r="C34" s="4" t="s">
        <v>82</v>
      </c>
      <c r="D34" s="23">
        <v>3</v>
      </c>
      <c r="E34" s="112"/>
      <c r="F34" s="112">
        <f t="shared" si="0"/>
        <v>0</v>
      </c>
    </row>
    <row r="35" spans="1:6" ht="14.5" customHeight="1" x14ac:dyDescent="0.35">
      <c r="A35" s="119" t="s">
        <v>189</v>
      </c>
      <c r="B35" s="120"/>
      <c r="C35" s="120"/>
      <c r="D35" s="120"/>
      <c r="E35" s="120"/>
      <c r="F35" s="121"/>
    </row>
    <row r="36" spans="1:6" x14ac:dyDescent="0.35">
      <c r="A36" s="18">
        <v>24</v>
      </c>
      <c r="B36" s="26" t="s">
        <v>190</v>
      </c>
      <c r="C36" s="18" t="s">
        <v>275</v>
      </c>
      <c r="D36" s="27">
        <v>18</v>
      </c>
      <c r="E36" s="112"/>
      <c r="F36" s="112">
        <f t="shared" si="0"/>
        <v>0</v>
      </c>
    </row>
    <row r="37" spans="1:6" x14ac:dyDescent="0.35">
      <c r="A37" s="4">
        <v>25</v>
      </c>
      <c r="B37" s="22" t="s">
        <v>191</v>
      </c>
      <c r="C37" s="4" t="s">
        <v>275</v>
      </c>
      <c r="D37" s="23">
        <v>7</v>
      </c>
      <c r="E37" s="112"/>
      <c r="F37" s="112">
        <f t="shared" si="0"/>
        <v>0</v>
      </c>
    </row>
    <row r="38" spans="1:6" x14ac:dyDescent="0.35">
      <c r="A38" s="18">
        <v>26</v>
      </c>
      <c r="B38" s="26" t="s">
        <v>192</v>
      </c>
      <c r="C38" s="18" t="s">
        <v>275</v>
      </c>
      <c r="D38" s="27">
        <v>24</v>
      </c>
      <c r="E38" s="112"/>
      <c r="F38" s="112">
        <f t="shared" si="0"/>
        <v>0</v>
      </c>
    </row>
    <row r="39" spans="1:6" x14ac:dyDescent="0.35">
      <c r="A39" s="4">
        <v>27</v>
      </c>
      <c r="B39" s="22" t="s">
        <v>193</v>
      </c>
      <c r="C39" s="4" t="s">
        <v>194</v>
      </c>
      <c r="D39" s="23">
        <v>1</v>
      </c>
      <c r="E39" s="112"/>
      <c r="F39" s="112">
        <f t="shared" si="0"/>
        <v>0</v>
      </c>
    </row>
    <row r="40" spans="1:6" ht="14.5" customHeight="1" x14ac:dyDescent="0.35">
      <c r="A40" s="119" t="s">
        <v>180</v>
      </c>
      <c r="B40" s="120"/>
      <c r="C40" s="120"/>
      <c r="D40" s="120"/>
      <c r="E40" s="120"/>
      <c r="F40" s="121"/>
    </row>
    <row r="41" spans="1:6" ht="23" x14ac:dyDescent="0.35">
      <c r="A41" s="18">
        <v>16</v>
      </c>
      <c r="B41" s="26" t="s">
        <v>181</v>
      </c>
      <c r="C41" s="18" t="s">
        <v>82</v>
      </c>
      <c r="D41" s="27">
        <v>31.7</v>
      </c>
      <c r="E41" s="112"/>
      <c r="F41" s="112">
        <f t="shared" si="0"/>
        <v>0</v>
      </c>
    </row>
    <row r="42" spans="1:6" ht="14.5" customHeight="1" x14ac:dyDescent="0.35">
      <c r="A42" s="119" t="s">
        <v>675</v>
      </c>
      <c r="B42" s="120"/>
      <c r="C42" s="120"/>
      <c r="D42" s="120"/>
      <c r="E42" s="120"/>
      <c r="F42" s="121"/>
    </row>
    <row r="43" spans="1:6" x14ac:dyDescent="0.35">
      <c r="A43" s="18">
        <v>44</v>
      </c>
      <c r="B43" s="26" t="s">
        <v>673</v>
      </c>
      <c r="C43" s="18" t="s">
        <v>672</v>
      </c>
      <c r="D43" s="27">
        <v>29</v>
      </c>
      <c r="E43" s="112"/>
      <c r="F43" s="112">
        <f t="shared" si="0"/>
        <v>0</v>
      </c>
    </row>
    <row r="44" spans="1:6" x14ac:dyDescent="0.35">
      <c r="A44" s="18">
        <v>44</v>
      </c>
      <c r="B44" s="26" t="s">
        <v>671</v>
      </c>
      <c r="C44" s="18" t="s">
        <v>672</v>
      </c>
      <c r="D44" s="27">
        <v>29</v>
      </c>
      <c r="E44" s="112"/>
      <c r="F44" s="112">
        <f t="shared" si="0"/>
        <v>0</v>
      </c>
    </row>
    <row r="45" spans="1:6" x14ac:dyDescent="0.35">
      <c r="A45" s="4">
        <v>45</v>
      </c>
      <c r="B45" s="22" t="s">
        <v>674</v>
      </c>
      <c r="C45" s="4" t="s">
        <v>672</v>
      </c>
      <c r="D45" s="23">
        <v>24</v>
      </c>
      <c r="E45" s="112"/>
      <c r="F45" s="112">
        <f t="shared" si="0"/>
        <v>0</v>
      </c>
    </row>
    <row r="46" spans="1:6" ht="14.5" customHeight="1" x14ac:dyDescent="0.35">
      <c r="A46" s="119" t="s">
        <v>670</v>
      </c>
      <c r="B46" s="120"/>
      <c r="C46" s="120"/>
      <c r="D46" s="120"/>
      <c r="E46" s="120"/>
      <c r="F46" s="121"/>
    </row>
    <row r="47" spans="1:6" x14ac:dyDescent="0.35">
      <c r="A47" s="18">
        <v>10</v>
      </c>
      <c r="B47" s="26" t="s">
        <v>663</v>
      </c>
      <c r="C47" s="18" t="s">
        <v>66</v>
      </c>
      <c r="D47" s="27">
        <v>16</v>
      </c>
      <c r="E47" s="112"/>
      <c r="F47" s="112">
        <f t="shared" si="0"/>
        <v>0</v>
      </c>
    </row>
    <row r="48" spans="1:6" x14ac:dyDescent="0.35">
      <c r="A48" s="4">
        <v>11</v>
      </c>
      <c r="B48" s="22" t="s">
        <v>662</v>
      </c>
      <c r="C48" s="4" t="s">
        <v>66</v>
      </c>
      <c r="D48" s="23">
        <v>3</v>
      </c>
      <c r="E48" s="112"/>
      <c r="F48" s="112">
        <f t="shared" si="0"/>
        <v>0</v>
      </c>
    </row>
    <row r="49" spans="1:6" x14ac:dyDescent="0.35">
      <c r="A49" s="18">
        <v>10</v>
      </c>
      <c r="B49" s="26" t="s">
        <v>659</v>
      </c>
      <c r="C49" s="18" t="s">
        <v>66</v>
      </c>
      <c r="D49" s="27">
        <v>168</v>
      </c>
      <c r="E49" s="112"/>
      <c r="F49" s="112">
        <f t="shared" si="0"/>
        <v>0</v>
      </c>
    </row>
    <row r="50" spans="1:6" x14ac:dyDescent="0.35">
      <c r="A50" s="4">
        <v>11</v>
      </c>
      <c r="B50" s="22" t="s">
        <v>660</v>
      </c>
      <c r="C50" s="4" t="s">
        <v>66</v>
      </c>
      <c r="D50" s="23">
        <v>24</v>
      </c>
      <c r="E50" s="112"/>
      <c r="F50" s="112">
        <f t="shared" si="0"/>
        <v>0</v>
      </c>
    </row>
    <row r="51" spans="1:6" x14ac:dyDescent="0.35">
      <c r="A51" s="18">
        <v>12</v>
      </c>
      <c r="B51" s="26" t="s">
        <v>664</v>
      </c>
      <c r="C51" s="18" t="s">
        <v>66</v>
      </c>
      <c r="D51" s="27">
        <v>24</v>
      </c>
      <c r="E51" s="112"/>
      <c r="F51" s="112">
        <f t="shared" si="0"/>
        <v>0</v>
      </c>
    </row>
    <row r="52" spans="1:6" x14ac:dyDescent="0.35">
      <c r="A52" s="4">
        <v>13</v>
      </c>
      <c r="B52" s="26" t="s">
        <v>666</v>
      </c>
      <c r="C52" s="18" t="s">
        <v>66</v>
      </c>
      <c r="D52" s="27">
        <v>192</v>
      </c>
      <c r="E52" s="112"/>
      <c r="F52" s="112">
        <f t="shared" si="0"/>
        <v>0</v>
      </c>
    </row>
    <row r="53" spans="1:6" x14ac:dyDescent="0.35">
      <c r="A53" s="18">
        <v>14</v>
      </c>
      <c r="B53" s="26" t="s">
        <v>667</v>
      </c>
      <c r="C53" s="18" t="s">
        <v>66</v>
      </c>
      <c r="D53" s="27">
        <v>24</v>
      </c>
      <c r="E53" s="112"/>
      <c r="F53" s="112">
        <f t="shared" si="0"/>
        <v>0</v>
      </c>
    </row>
    <row r="54" spans="1:6" x14ac:dyDescent="0.35">
      <c r="A54" s="18">
        <v>14</v>
      </c>
      <c r="B54" s="26" t="s">
        <v>668</v>
      </c>
      <c r="C54" s="18" t="s">
        <v>66</v>
      </c>
      <c r="D54" s="27">
        <v>28</v>
      </c>
      <c r="E54" s="112"/>
      <c r="F54" s="112">
        <f t="shared" si="0"/>
        <v>0</v>
      </c>
    </row>
    <row r="55" spans="1:6" x14ac:dyDescent="0.35">
      <c r="A55" s="4">
        <v>15</v>
      </c>
      <c r="B55" s="22" t="s">
        <v>179</v>
      </c>
      <c r="C55" s="4" t="s">
        <v>174</v>
      </c>
      <c r="D55" s="23">
        <v>84</v>
      </c>
      <c r="E55" s="112"/>
      <c r="F55" s="112">
        <f t="shared" si="0"/>
        <v>0</v>
      </c>
    </row>
    <row r="56" spans="1:6" x14ac:dyDescent="0.35">
      <c r="E56" s="112"/>
      <c r="F56" s="112">
        <f t="shared" si="0"/>
        <v>0</v>
      </c>
    </row>
    <row r="57" spans="1:6" ht="14.5" customHeight="1" x14ac:dyDescent="0.35">
      <c r="A57" s="122" t="s">
        <v>182</v>
      </c>
      <c r="B57" s="123"/>
      <c r="C57" s="123"/>
      <c r="D57" s="123"/>
      <c r="E57" s="123"/>
      <c r="F57" s="124"/>
    </row>
    <row r="58" spans="1:6" ht="23" x14ac:dyDescent="0.35">
      <c r="A58" s="4">
        <v>17</v>
      </c>
      <c r="B58" s="22" t="s">
        <v>183</v>
      </c>
      <c r="C58" s="4" t="s">
        <v>184</v>
      </c>
      <c r="D58" s="23">
        <v>42</v>
      </c>
      <c r="E58" s="112"/>
      <c r="F58" s="112">
        <f t="shared" si="0"/>
        <v>0</v>
      </c>
    </row>
    <row r="59" spans="1:6" x14ac:dyDescent="0.35">
      <c r="A59" s="18">
        <v>18</v>
      </c>
      <c r="B59" s="26" t="s">
        <v>185</v>
      </c>
      <c r="C59" s="18" t="s">
        <v>73</v>
      </c>
      <c r="D59" s="27">
        <v>5</v>
      </c>
      <c r="E59" s="112"/>
      <c r="F59" s="112">
        <f t="shared" si="0"/>
        <v>0</v>
      </c>
    </row>
    <row r="60" spans="1:6" x14ac:dyDescent="0.35">
      <c r="A60" s="4">
        <v>19</v>
      </c>
      <c r="B60" s="22" t="s">
        <v>186</v>
      </c>
      <c r="C60" s="4" t="s">
        <v>73</v>
      </c>
      <c r="D60" s="23">
        <v>7</v>
      </c>
      <c r="E60" s="112"/>
      <c r="F60" s="112">
        <f t="shared" si="0"/>
        <v>0</v>
      </c>
    </row>
    <row r="61" spans="1:6" x14ac:dyDescent="0.35">
      <c r="A61" s="18">
        <v>20</v>
      </c>
      <c r="B61" s="26" t="s">
        <v>187</v>
      </c>
      <c r="C61" s="18" t="s">
        <v>184</v>
      </c>
      <c r="D61" s="27">
        <v>2</v>
      </c>
      <c r="E61" s="112"/>
      <c r="F61" s="112">
        <f t="shared" si="0"/>
        <v>0</v>
      </c>
    </row>
    <row r="62" spans="1:6" x14ac:dyDescent="0.35">
      <c r="A62" s="4">
        <v>21</v>
      </c>
      <c r="B62" s="22" t="s">
        <v>188</v>
      </c>
      <c r="C62" s="4" t="s">
        <v>66</v>
      </c>
      <c r="D62" s="23">
        <v>1</v>
      </c>
      <c r="E62" s="112"/>
      <c r="F62" s="112">
        <f t="shared" si="0"/>
        <v>0</v>
      </c>
    </row>
    <row r="63" spans="1:6" ht="15" customHeight="1" x14ac:dyDescent="0.35">
      <c r="A63" s="119" t="s">
        <v>200</v>
      </c>
      <c r="B63" s="120"/>
      <c r="C63" s="120"/>
      <c r="D63" s="120"/>
      <c r="E63" s="120"/>
      <c r="F63" s="121"/>
    </row>
    <row r="64" spans="1:6" x14ac:dyDescent="0.35">
      <c r="A64" s="4">
        <v>33</v>
      </c>
      <c r="B64" s="22" t="s">
        <v>201</v>
      </c>
      <c r="C64" s="4" t="s">
        <v>73</v>
      </c>
      <c r="D64" s="23">
        <v>0.8145</v>
      </c>
      <c r="E64" s="112"/>
      <c r="F64" s="112">
        <f t="shared" si="0"/>
        <v>0</v>
      </c>
    </row>
    <row r="65" spans="1:6" x14ac:dyDescent="0.35">
      <c r="A65" s="18">
        <v>34</v>
      </c>
      <c r="B65" s="110" t="s">
        <v>620</v>
      </c>
      <c r="C65" s="18" t="s">
        <v>60</v>
      </c>
      <c r="D65" s="27">
        <v>13</v>
      </c>
      <c r="E65" s="112"/>
      <c r="F65" s="112">
        <f t="shared" si="0"/>
        <v>0</v>
      </c>
    </row>
    <row r="66" spans="1:6" x14ac:dyDescent="0.35">
      <c r="A66" s="4">
        <v>35</v>
      </c>
      <c r="B66" s="22" t="s">
        <v>202</v>
      </c>
      <c r="C66" s="4" t="s">
        <v>184</v>
      </c>
      <c r="D66" s="23">
        <v>2</v>
      </c>
      <c r="E66" s="112"/>
      <c r="F66" s="112">
        <f t="shared" si="0"/>
        <v>0</v>
      </c>
    </row>
    <row r="67" spans="1:6" x14ac:dyDescent="0.35">
      <c r="A67" s="18">
        <v>36</v>
      </c>
      <c r="B67" s="110" t="s">
        <v>621</v>
      </c>
      <c r="C67" s="18" t="s">
        <v>63</v>
      </c>
      <c r="D67" s="27">
        <v>10</v>
      </c>
      <c r="E67" s="112"/>
      <c r="F67" s="112">
        <f t="shared" si="0"/>
        <v>0</v>
      </c>
    </row>
    <row r="68" spans="1:6" x14ac:dyDescent="0.35">
      <c r="A68" s="4">
        <v>37</v>
      </c>
      <c r="B68" s="22" t="s">
        <v>203</v>
      </c>
      <c r="C68" s="4" t="s">
        <v>60</v>
      </c>
      <c r="D68" s="23">
        <v>8.1449999999999996</v>
      </c>
      <c r="E68" s="112"/>
      <c r="F68" s="112">
        <f t="shared" si="0"/>
        <v>0</v>
      </c>
    </row>
    <row r="69" spans="1:6" ht="15" customHeight="1" x14ac:dyDescent="0.35">
      <c r="A69" s="119" t="s">
        <v>204</v>
      </c>
      <c r="B69" s="120"/>
      <c r="C69" s="120"/>
      <c r="D69" s="120"/>
      <c r="E69" s="120"/>
      <c r="F69" s="121"/>
    </row>
    <row r="70" spans="1:6" x14ac:dyDescent="0.35">
      <c r="A70" s="18">
        <v>38</v>
      </c>
      <c r="B70" s="26" t="s">
        <v>205</v>
      </c>
      <c r="C70" s="18" t="s">
        <v>184</v>
      </c>
      <c r="D70" s="27">
        <v>18</v>
      </c>
      <c r="E70" s="112"/>
      <c r="F70" s="112">
        <f t="shared" ref="F70:F79" si="1">+D70*E70</f>
        <v>0</v>
      </c>
    </row>
    <row r="71" spans="1:6" x14ac:dyDescent="0.35">
      <c r="A71" s="4">
        <v>39</v>
      </c>
      <c r="B71" s="22" t="s">
        <v>206</v>
      </c>
      <c r="C71" s="4" t="s">
        <v>184</v>
      </c>
      <c r="D71" s="23">
        <v>17</v>
      </c>
      <c r="E71" s="112"/>
      <c r="F71" s="112">
        <f t="shared" si="1"/>
        <v>0</v>
      </c>
    </row>
    <row r="72" spans="1:6" x14ac:dyDescent="0.35">
      <c r="A72" s="18">
        <v>40</v>
      </c>
      <c r="B72" s="26" t="s">
        <v>207</v>
      </c>
      <c r="C72" s="18" t="s">
        <v>73</v>
      </c>
      <c r="D72" s="27">
        <v>1.8</v>
      </c>
      <c r="E72" s="112"/>
      <c r="F72" s="112">
        <f t="shared" si="1"/>
        <v>0</v>
      </c>
    </row>
    <row r="73" spans="1:6" ht="14.5" customHeight="1" x14ac:dyDescent="0.35">
      <c r="A73" s="119" t="s">
        <v>195</v>
      </c>
      <c r="B73" s="120"/>
      <c r="C73" s="120"/>
      <c r="D73" s="120"/>
      <c r="E73" s="120"/>
      <c r="F73" s="121"/>
    </row>
    <row r="74" spans="1:6" x14ac:dyDescent="0.35">
      <c r="A74" s="18">
        <v>28</v>
      </c>
      <c r="B74" s="26" t="s">
        <v>629</v>
      </c>
      <c r="C74" s="18" t="s">
        <v>275</v>
      </c>
      <c r="D74" s="27">
        <v>13</v>
      </c>
      <c r="E74" s="112"/>
      <c r="F74" s="112">
        <f t="shared" si="1"/>
        <v>0</v>
      </c>
    </row>
    <row r="75" spans="1:6" x14ac:dyDescent="0.35">
      <c r="A75" s="18">
        <v>28</v>
      </c>
      <c r="B75" s="26" t="s">
        <v>628</v>
      </c>
      <c r="C75" s="18" t="s">
        <v>275</v>
      </c>
      <c r="D75" s="27">
        <v>2</v>
      </c>
      <c r="E75" s="112"/>
      <c r="F75" s="112">
        <f t="shared" si="1"/>
        <v>0</v>
      </c>
    </row>
    <row r="76" spans="1:6" x14ac:dyDescent="0.35">
      <c r="A76" s="4">
        <v>29</v>
      </c>
      <c r="B76" s="22" t="s">
        <v>197</v>
      </c>
      <c r="C76" s="4" t="s">
        <v>60</v>
      </c>
      <c r="D76" s="23">
        <v>66.5</v>
      </c>
      <c r="E76" s="112"/>
      <c r="F76" s="112">
        <f t="shared" si="1"/>
        <v>0</v>
      </c>
    </row>
    <row r="77" spans="1:6" x14ac:dyDescent="0.35">
      <c r="A77" s="18">
        <v>30</v>
      </c>
      <c r="B77" s="26" t="s">
        <v>198</v>
      </c>
      <c r="C77" s="18" t="s">
        <v>275</v>
      </c>
      <c r="D77" s="27">
        <v>18</v>
      </c>
      <c r="E77" s="112"/>
      <c r="F77" s="112">
        <f t="shared" si="1"/>
        <v>0</v>
      </c>
    </row>
    <row r="78" spans="1:6" x14ac:dyDescent="0.35">
      <c r="A78" s="4">
        <v>31</v>
      </c>
      <c r="B78" s="109" t="s">
        <v>619</v>
      </c>
      <c r="C78" s="4" t="s">
        <v>275</v>
      </c>
      <c r="D78" s="23">
        <v>2</v>
      </c>
      <c r="E78" s="112"/>
      <c r="F78" s="112">
        <f t="shared" si="1"/>
        <v>0</v>
      </c>
    </row>
    <row r="79" spans="1:6" x14ac:dyDescent="0.35">
      <c r="A79" s="18">
        <v>32</v>
      </c>
      <c r="B79" s="26" t="s">
        <v>199</v>
      </c>
      <c r="C79" s="18" t="s">
        <v>82</v>
      </c>
      <c r="D79" s="27">
        <v>8</v>
      </c>
      <c r="E79" s="112"/>
      <c r="F79" s="112">
        <f t="shared" si="1"/>
        <v>0</v>
      </c>
    </row>
    <row r="80" spans="1:6" ht="15" thickBot="1" x14ac:dyDescent="0.4"/>
    <row r="81" spans="5:6" ht="15" thickBot="1" x14ac:dyDescent="0.4">
      <c r="E81" s="113" t="s">
        <v>680</v>
      </c>
      <c r="F81" s="114">
        <f>+SUM(F5:F34)+SUM(F36:F39)+SUM(F41)+SUM(F43:F45)+SUM(F47:F56)+SUM(F58:F62)+SUM(F64:F68)+SUM(F70:F72)+SUM(F74:F79)</f>
        <v>0</v>
      </c>
    </row>
  </sheetData>
  <mergeCells count="11">
    <mergeCell ref="A73:F73"/>
    <mergeCell ref="A42:F42"/>
    <mergeCell ref="A46:F46"/>
    <mergeCell ref="A57:F57"/>
    <mergeCell ref="A63:F63"/>
    <mergeCell ref="A69:F69"/>
    <mergeCell ref="A1:F1"/>
    <mergeCell ref="A2:F2"/>
    <mergeCell ref="A4:F4"/>
    <mergeCell ref="A35:F35"/>
    <mergeCell ref="A40:F4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0"/>
  <sheetViews>
    <sheetView showGridLines="0" workbookViewId="0">
      <selection sqref="A1:L1"/>
    </sheetView>
  </sheetViews>
  <sheetFormatPr baseColWidth="10" defaultColWidth="9.1796875" defaultRowHeight="14.5" x14ac:dyDescent="0.35"/>
  <cols>
    <col min="1" max="1" width="6" customWidth="1"/>
    <col min="2" max="2" width="46" customWidth="1"/>
    <col min="3" max="3" width="14" customWidth="1"/>
    <col min="4" max="4" width="16" customWidth="1"/>
    <col min="5" max="6" width="18" customWidth="1"/>
  </cols>
  <sheetData>
    <row r="1" spans="1:6" x14ac:dyDescent="0.35">
      <c r="A1" s="155" t="s">
        <v>218</v>
      </c>
      <c r="B1" s="126"/>
      <c r="C1" s="126"/>
      <c r="D1" s="126"/>
      <c r="E1" s="126"/>
      <c r="F1" s="126"/>
    </row>
    <row r="2" spans="1:6" x14ac:dyDescent="0.35">
      <c r="A2" s="151" t="s">
        <v>219</v>
      </c>
      <c r="B2" s="126"/>
      <c r="C2" s="126"/>
      <c r="D2" s="126"/>
      <c r="E2" s="126"/>
      <c r="F2" s="126"/>
    </row>
    <row r="3" spans="1:6" ht="26" x14ac:dyDescent="0.35">
      <c r="A3" s="3" t="s">
        <v>18</v>
      </c>
      <c r="B3" s="3" t="s">
        <v>220</v>
      </c>
      <c r="C3" s="3" t="s">
        <v>157</v>
      </c>
      <c r="D3" s="3" t="s">
        <v>221</v>
      </c>
      <c r="E3" s="3" t="s">
        <v>222</v>
      </c>
      <c r="F3" s="3" t="s">
        <v>160</v>
      </c>
    </row>
    <row r="4" spans="1:6" ht="18" customHeight="1" x14ac:dyDescent="0.35">
      <c r="A4" s="156" t="s">
        <v>223</v>
      </c>
      <c r="B4" s="126"/>
      <c r="C4" s="126"/>
      <c r="D4" s="126"/>
      <c r="E4" s="126"/>
      <c r="F4" s="126"/>
    </row>
    <row r="5" spans="1:6" ht="18" customHeight="1" x14ac:dyDescent="0.35">
      <c r="A5" s="4">
        <v>1</v>
      </c>
      <c r="B5" s="22" t="s">
        <v>224</v>
      </c>
      <c r="C5" s="4" t="s">
        <v>225</v>
      </c>
      <c r="D5" s="23">
        <v>180</v>
      </c>
      <c r="E5" s="5">
        <v>58333</v>
      </c>
      <c r="F5" s="11">
        <v>10499940</v>
      </c>
    </row>
    <row r="6" spans="1:6" ht="18" customHeight="1" x14ac:dyDescent="0.35">
      <c r="A6" s="18">
        <v>2</v>
      </c>
      <c r="B6" s="26" t="s">
        <v>226</v>
      </c>
      <c r="C6" s="18" t="s">
        <v>225</v>
      </c>
      <c r="D6" s="27">
        <v>45</v>
      </c>
      <c r="E6" s="19">
        <v>87500</v>
      </c>
      <c r="F6" s="11">
        <v>3937500</v>
      </c>
    </row>
    <row r="7" spans="1:6" ht="18" customHeight="1" x14ac:dyDescent="0.35">
      <c r="A7" s="4">
        <v>3</v>
      </c>
      <c r="B7" s="22" t="s">
        <v>227</v>
      </c>
      <c r="C7" s="4" t="s">
        <v>228</v>
      </c>
      <c r="D7" s="23">
        <v>12</v>
      </c>
      <c r="E7" s="5">
        <v>180000</v>
      </c>
      <c r="F7" s="11">
        <v>2160000</v>
      </c>
    </row>
    <row r="8" spans="1:6" ht="18" customHeight="1" x14ac:dyDescent="0.35">
      <c r="A8" s="18">
        <v>4</v>
      </c>
      <c r="B8" s="26" t="s">
        <v>229</v>
      </c>
      <c r="C8" s="18" t="s">
        <v>225</v>
      </c>
      <c r="D8" s="27">
        <v>48</v>
      </c>
      <c r="E8" s="19">
        <v>140000</v>
      </c>
      <c r="F8" s="11">
        <v>6720000</v>
      </c>
    </row>
    <row r="9" spans="1:6" ht="18" customHeight="1" x14ac:dyDescent="0.35">
      <c r="A9" s="4">
        <v>5</v>
      </c>
      <c r="B9" s="22" t="s">
        <v>230</v>
      </c>
      <c r="C9" s="4" t="s">
        <v>225</v>
      </c>
      <c r="D9" s="23">
        <v>16</v>
      </c>
      <c r="E9" s="5">
        <v>105000</v>
      </c>
      <c r="F9" s="11">
        <v>1680000</v>
      </c>
    </row>
    <row r="10" spans="1:6" ht="18" customHeight="1" x14ac:dyDescent="0.35">
      <c r="A10" s="18">
        <v>6</v>
      </c>
      <c r="B10" s="26" t="s">
        <v>231</v>
      </c>
      <c r="C10" s="18" t="s">
        <v>225</v>
      </c>
      <c r="D10" s="27">
        <v>20</v>
      </c>
      <c r="E10" s="19">
        <v>95000</v>
      </c>
      <c r="F10" s="11">
        <v>1900000</v>
      </c>
    </row>
    <row r="11" spans="1:6" ht="18" customHeight="1" x14ac:dyDescent="0.35">
      <c r="A11" s="4">
        <v>7</v>
      </c>
      <c r="B11" s="22" t="s">
        <v>232</v>
      </c>
      <c r="C11" s="4" t="s">
        <v>91</v>
      </c>
      <c r="D11" s="23">
        <v>1</v>
      </c>
      <c r="E11" s="5">
        <v>6771115.8479999993</v>
      </c>
      <c r="F11" s="11">
        <v>6771115.8479999993</v>
      </c>
    </row>
    <row r="12" spans="1:6" ht="18" customHeight="1" x14ac:dyDescent="0.35">
      <c r="A12" s="156" t="s">
        <v>233</v>
      </c>
      <c r="B12" s="126"/>
      <c r="C12" s="126"/>
      <c r="D12" s="126"/>
      <c r="E12" s="126"/>
      <c r="F12" s="126"/>
    </row>
    <row r="13" spans="1:6" ht="18" customHeight="1" x14ac:dyDescent="0.35">
      <c r="A13" s="18">
        <v>8</v>
      </c>
      <c r="B13" s="26" t="s">
        <v>234</v>
      </c>
      <c r="C13" s="18" t="s">
        <v>228</v>
      </c>
      <c r="D13" s="27">
        <v>10</v>
      </c>
      <c r="E13" s="19">
        <v>60000</v>
      </c>
      <c r="F13" s="11">
        <v>600000</v>
      </c>
    </row>
    <row r="14" spans="1:6" ht="18" customHeight="1" x14ac:dyDescent="0.35">
      <c r="A14" s="4">
        <v>9</v>
      </c>
      <c r="B14" s="22" t="s">
        <v>235</v>
      </c>
      <c r="C14" s="4" t="s">
        <v>228</v>
      </c>
      <c r="D14" s="23">
        <v>10</v>
      </c>
      <c r="E14" s="5">
        <v>30000</v>
      </c>
      <c r="F14" s="11">
        <v>300000</v>
      </c>
    </row>
    <row r="15" spans="1:6" ht="18" customHeight="1" x14ac:dyDescent="0.35">
      <c r="A15" s="18">
        <v>10</v>
      </c>
      <c r="B15" s="26" t="s">
        <v>236</v>
      </c>
      <c r="C15" s="18" t="s">
        <v>228</v>
      </c>
      <c r="D15" s="27">
        <v>20</v>
      </c>
      <c r="E15" s="19">
        <v>160000</v>
      </c>
      <c r="F15" s="11">
        <v>3200000</v>
      </c>
    </row>
    <row r="16" spans="1:6" ht="18" customHeight="1" x14ac:dyDescent="0.35">
      <c r="A16" s="4">
        <v>11</v>
      </c>
      <c r="B16" s="22" t="s">
        <v>237</v>
      </c>
      <c r="C16" s="4" t="s">
        <v>228</v>
      </c>
      <c r="D16" s="23">
        <v>20</v>
      </c>
      <c r="E16" s="5">
        <v>80000</v>
      </c>
      <c r="F16" s="11">
        <v>1600000</v>
      </c>
    </row>
    <row r="17" spans="1:6" ht="18" customHeight="1" x14ac:dyDescent="0.35">
      <c r="A17" s="18">
        <v>12</v>
      </c>
      <c r="B17" s="26" t="s">
        <v>238</v>
      </c>
      <c r="C17" s="18" t="s">
        <v>228</v>
      </c>
      <c r="D17" s="27">
        <v>20</v>
      </c>
      <c r="E17" s="19">
        <v>60000</v>
      </c>
      <c r="F17" s="11">
        <v>1200000</v>
      </c>
    </row>
    <row r="18" spans="1:6" ht="18" customHeight="1" x14ac:dyDescent="0.35">
      <c r="A18" s="4">
        <v>13</v>
      </c>
      <c r="B18" s="22" t="s">
        <v>239</v>
      </c>
      <c r="C18" s="4" t="s">
        <v>228</v>
      </c>
      <c r="D18" s="23">
        <v>2</v>
      </c>
      <c r="E18" s="5">
        <v>385000</v>
      </c>
      <c r="F18" s="11">
        <v>770000</v>
      </c>
    </row>
    <row r="19" spans="1:6" ht="18" customHeight="1" x14ac:dyDescent="0.35">
      <c r="A19" s="18">
        <v>14</v>
      </c>
      <c r="B19" s="26" t="s">
        <v>240</v>
      </c>
      <c r="C19" s="18" t="s">
        <v>228</v>
      </c>
      <c r="D19" s="27">
        <v>20</v>
      </c>
      <c r="E19" s="19">
        <v>45000</v>
      </c>
      <c r="F19" s="11">
        <v>900000</v>
      </c>
    </row>
    <row r="20" spans="1:6" ht="18" customHeight="1" x14ac:dyDescent="0.35">
      <c r="A20" s="4">
        <v>15</v>
      </c>
      <c r="B20" s="22" t="s">
        <v>241</v>
      </c>
      <c r="C20" s="4" t="s">
        <v>228</v>
      </c>
      <c r="D20" s="23">
        <v>2</v>
      </c>
      <c r="E20" s="5">
        <v>80000</v>
      </c>
      <c r="F20" s="11">
        <v>160000</v>
      </c>
    </row>
    <row r="21" spans="1:6" ht="18" customHeight="1" x14ac:dyDescent="0.35">
      <c r="A21" s="18">
        <v>16</v>
      </c>
      <c r="B21" s="26" t="s">
        <v>242</v>
      </c>
      <c r="C21" s="18" t="s">
        <v>228</v>
      </c>
      <c r="D21" s="27">
        <v>2</v>
      </c>
      <c r="E21" s="19">
        <v>80000</v>
      </c>
      <c r="F21" s="11">
        <v>160000</v>
      </c>
    </row>
    <row r="22" spans="1:6" ht="18" customHeight="1" x14ac:dyDescent="0.35">
      <c r="A22" s="4">
        <v>17</v>
      </c>
      <c r="B22" s="22" t="s">
        <v>243</v>
      </c>
      <c r="C22" s="4" t="s">
        <v>228</v>
      </c>
      <c r="D22" s="23">
        <v>1</v>
      </c>
      <c r="E22" s="5">
        <v>80000</v>
      </c>
      <c r="F22" s="11">
        <v>80000</v>
      </c>
    </row>
    <row r="23" spans="1:6" ht="18" customHeight="1" x14ac:dyDescent="0.35">
      <c r="A23" s="18">
        <v>18</v>
      </c>
      <c r="B23" s="26" t="s">
        <v>244</v>
      </c>
      <c r="C23" s="18" t="s">
        <v>228</v>
      </c>
      <c r="D23" s="27">
        <v>2</v>
      </c>
      <c r="E23" s="19">
        <v>70000</v>
      </c>
      <c r="F23" s="11">
        <v>140000</v>
      </c>
    </row>
    <row r="24" spans="1:6" ht="18" customHeight="1" x14ac:dyDescent="0.35">
      <c r="A24" s="4">
        <v>19</v>
      </c>
      <c r="B24" s="22" t="s">
        <v>245</v>
      </c>
      <c r="C24" s="4" t="s">
        <v>228</v>
      </c>
      <c r="D24" s="23">
        <v>1</v>
      </c>
      <c r="E24" s="5">
        <v>120000</v>
      </c>
      <c r="F24" s="11">
        <v>120000</v>
      </c>
    </row>
    <row r="25" spans="1:6" ht="18" customHeight="1" x14ac:dyDescent="0.35">
      <c r="A25" s="18">
        <v>20</v>
      </c>
      <c r="B25" s="26" t="s">
        <v>246</v>
      </c>
      <c r="C25" s="18" t="s">
        <v>228</v>
      </c>
      <c r="D25" s="27">
        <v>5</v>
      </c>
      <c r="E25" s="19">
        <v>30000</v>
      </c>
      <c r="F25" s="11">
        <v>150000</v>
      </c>
    </row>
    <row r="26" spans="1:6" ht="18" customHeight="1" x14ac:dyDescent="0.35">
      <c r="A26" s="4">
        <v>21</v>
      </c>
      <c r="B26" s="22" t="s">
        <v>247</v>
      </c>
      <c r="C26" s="4" t="s">
        <v>228</v>
      </c>
      <c r="D26" s="23">
        <v>20</v>
      </c>
      <c r="E26" s="5">
        <v>30000</v>
      </c>
      <c r="F26" s="11">
        <v>600000</v>
      </c>
    </row>
    <row r="27" spans="1:6" ht="18" customHeight="1" x14ac:dyDescent="0.35">
      <c r="A27" s="18">
        <v>22</v>
      </c>
      <c r="B27" s="26" t="s">
        <v>248</v>
      </c>
      <c r="C27" s="18" t="s">
        <v>228</v>
      </c>
      <c r="D27" s="27">
        <v>5</v>
      </c>
      <c r="E27" s="19">
        <v>30000</v>
      </c>
      <c r="F27" s="11">
        <v>150000</v>
      </c>
    </row>
    <row r="28" spans="1:6" ht="18" customHeight="1" x14ac:dyDescent="0.35">
      <c r="A28" s="4">
        <v>23</v>
      </c>
      <c r="B28" s="22" t="s">
        <v>249</v>
      </c>
      <c r="C28" s="4" t="s">
        <v>228</v>
      </c>
      <c r="D28" s="23">
        <v>4</v>
      </c>
      <c r="E28" s="5">
        <v>95000</v>
      </c>
      <c r="F28" s="11">
        <v>380000</v>
      </c>
    </row>
    <row r="29" spans="1:6" ht="18" customHeight="1" x14ac:dyDescent="0.35">
      <c r="A29" s="156" t="s">
        <v>250</v>
      </c>
      <c r="B29" s="126"/>
      <c r="C29" s="126"/>
      <c r="D29" s="126"/>
      <c r="E29" s="126"/>
      <c r="F29" s="126"/>
    </row>
    <row r="30" spans="1:6" ht="18" customHeight="1" x14ac:dyDescent="0.35">
      <c r="A30" s="18">
        <v>24</v>
      </c>
      <c r="B30" s="26" t="s">
        <v>251</v>
      </c>
      <c r="C30" s="18" t="s">
        <v>174</v>
      </c>
      <c r="D30" s="27">
        <v>8</v>
      </c>
      <c r="E30" s="19">
        <v>35000</v>
      </c>
      <c r="F30" s="11">
        <v>280000</v>
      </c>
    </row>
    <row r="31" spans="1:6" ht="18" customHeight="1" x14ac:dyDescent="0.35">
      <c r="A31" s="4">
        <v>25</v>
      </c>
      <c r="B31" s="22" t="s">
        <v>252</v>
      </c>
      <c r="C31" s="4" t="s">
        <v>174</v>
      </c>
      <c r="D31" s="23">
        <v>10</v>
      </c>
      <c r="E31" s="5">
        <v>25000</v>
      </c>
      <c r="F31" s="11">
        <v>250000</v>
      </c>
    </row>
    <row r="32" spans="1:6" ht="18" customHeight="1" x14ac:dyDescent="0.35">
      <c r="A32" s="18">
        <v>26</v>
      </c>
      <c r="B32" s="26" t="s">
        <v>253</v>
      </c>
      <c r="C32" s="18" t="s">
        <v>254</v>
      </c>
      <c r="D32" s="27">
        <v>12</v>
      </c>
      <c r="E32" s="19">
        <v>28000</v>
      </c>
      <c r="F32" s="11">
        <v>336000</v>
      </c>
    </row>
    <row r="33" spans="1:6" ht="18" customHeight="1" x14ac:dyDescent="0.35">
      <c r="A33" s="4">
        <v>27</v>
      </c>
      <c r="B33" s="22" t="s">
        <v>255</v>
      </c>
      <c r="C33" s="4" t="s">
        <v>254</v>
      </c>
      <c r="D33" s="23">
        <v>8</v>
      </c>
      <c r="E33" s="5">
        <v>145000</v>
      </c>
      <c r="F33" s="11">
        <v>1160000</v>
      </c>
    </row>
    <row r="34" spans="1:6" ht="18" customHeight="1" x14ac:dyDescent="0.35">
      <c r="A34" s="18">
        <v>28</v>
      </c>
      <c r="B34" s="26" t="s">
        <v>256</v>
      </c>
      <c r="C34" s="18" t="s">
        <v>174</v>
      </c>
      <c r="D34" s="27">
        <v>4</v>
      </c>
      <c r="E34" s="19">
        <v>320000</v>
      </c>
      <c r="F34" s="11">
        <v>1280000</v>
      </c>
    </row>
    <row r="35" spans="1:6" ht="18" customHeight="1" x14ac:dyDescent="0.35">
      <c r="A35" s="4">
        <v>29</v>
      </c>
      <c r="B35" s="22" t="s">
        <v>257</v>
      </c>
      <c r="C35" s="4" t="s">
        <v>91</v>
      </c>
      <c r="D35" s="23">
        <v>1</v>
      </c>
      <c r="E35" s="5">
        <v>280000</v>
      </c>
      <c r="F35" s="11">
        <v>280000</v>
      </c>
    </row>
    <row r="36" spans="1:6" ht="18" customHeight="1" x14ac:dyDescent="0.35">
      <c r="A36" s="18">
        <v>30</v>
      </c>
      <c r="B36" s="26" t="s">
        <v>258</v>
      </c>
      <c r="C36" s="18" t="s">
        <v>174</v>
      </c>
      <c r="D36" s="27">
        <v>2</v>
      </c>
      <c r="E36" s="19">
        <v>95000</v>
      </c>
      <c r="F36" s="11">
        <v>190000</v>
      </c>
    </row>
    <row r="37" spans="1:6" ht="18" customHeight="1" x14ac:dyDescent="0.35">
      <c r="A37" s="4">
        <v>31</v>
      </c>
      <c r="B37" s="22" t="s">
        <v>259</v>
      </c>
      <c r="C37" s="4" t="s">
        <v>174</v>
      </c>
      <c r="D37" s="23">
        <v>1</v>
      </c>
      <c r="E37" s="5">
        <v>180000</v>
      </c>
      <c r="F37" s="11">
        <v>180000</v>
      </c>
    </row>
    <row r="38" spans="1:6" ht="18" customHeight="1" x14ac:dyDescent="0.35">
      <c r="A38" s="156" t="s">
        <v>260</v>
      </c>
      <c r="B38" s="126"/>
      <c r="C38" s="126"/>
      <c r="D38" s="126"/>
      <c r="E38" s="126"/>
      <c r="F38" s="126"/>
    </row>
    <row r="39" spans="1:6" ht="18" customHeight="1" x14ac:dyDescent="0.35">
      <c r="A39" s="18">
        <v>32</v>
      </c>
      <c r="B39" s="26" t="s">
        <v>261</v>
      </c>
      <c r="C39" s="18" t="s">
        <v>262</v>
      </c>
      <c r="D39" s="27">
        <v>1</v>
      </c>
      <c r="E39" s="19">
        <v>1680000</v>
      </c>
      <c r="F39" s="11">
        <v>1680000</v>
      </c>
    </row>
    <row r="40" spans="1:6" ht="18" customHeight="1" x14ac:dyDescent="0.35">
      <c r="A40" s="4">
        <v>33</v>
      </c>
      <c r="B40" s="22" t="s">
        <v>263</v>
      </c>
      <c r="C40" s="4" t="s">
        <v>262</v>
      </c>
      <c r="D40" s="23">
        <v>1</v>
      </c>
      <c r="E40" s="5">
        <v>1030000</v>
      </c>
      <c r="F40" s="11">
        <v>1030000</v>
      </c>
    </row>
    <row r="41" spans="1:6" ht="18" customHeight="1" x14ac:dyDescent="0.35">
      <c r="A41" s="18">
        <v>34</v>
      </c>
      <c r="B41" s="26" t="s">
        <v>264</v>
      </c>
      <c r="C41" s="18" t="s">
        <v>262</v>
      </c>
      <c r="D41" s="27">
        <v>2</v>
      </c>
      <c r="E41" s="19">
        <v>1030000</v>
      </c>
      <c r="F41" s="11">
        <v>2060000</v>
      </c>
    </row>
    <row r="42" spans="1:6" ht="18" customHeight="1" x14ac:dyDescent="0.35">
      <c r="A42" s="4">
        <v>35</v>
      </c>
      <c r="B42" s="22" t="s">
        <v>265</v>
      </c>
      <c r="C42" s="4" t="s">
        <v>262</v>
      </c>
      <c r="D42" s="23">
        <v>1</v>
      </c>
      <c r="E42" s="5">
        <v>500000</v>
      </c>
      <c r="F42" s="11">
        <v>500000</v>
      </c>
    </row>
    <row r="43" spans="1:6" ht="18" customHeight="1" x14ac:dyDescent="0.35">
      <c r="A43" s="18">
        <v>36</v>
      </c>
      <c r="B43" s="26" t="s">
        <v>266</v>
      </c>
      <c r="C43" s="18" t="s">
        <v>262</v>
      </c>
      <c r="D43" s="27">
        <v>1</v>
      </c>
      <c r="E43" s="19">
        <v>1030000</v>
      </c>
      <c r="F43" s="11">
        <v>1030000</v>
      </c>
    </row>
    <row r="44" spans="1:6" ht="18" customHeight="1" x14ac:dyDescent="0.35">
      <c r="A44" s="4">
        <v>37</v>
      </c>
      <c r="B44" s="22" t="s">
        <v>267</v>
      </c>
      <c r="C44" s="4" t="s">
        <v>262</v>
      </c>
      <c r="D44" s="23">
        <v>1</v>
      </c>
      <c r="E44" s="5">
        <v>330000</v>
      </c>
      <c r="F44" s="11">
        <v>330000</v>
      </c>
    </row>
    <row r="45" spans="1:6" ht="18" customHeight="1" x14ac:dyDescent="0.35">
      <c r="A45" s="18">
        <v>38</v>
      </c>
      <c r="B45" s="26" t="s">
        <v>268</v>
      </c>
      <c r="C45" s="18" t="s">
        <v>262</v>
      </c>
      <c r="D45" s="27">
        <v>2</v>
      </c>
      <c r="E45" s="19">
        <v>1030000</v>
      </c>
      <c r="F45" s="11">
        <v>2060000</v>
      </c>
    </row>
    <row r="46" spans="1:6" ht="18" customHeight="1" x14ac:dyDescent="0.35">
      <c r="A46" s="4">
        <v>39</v>
      </c>
      <c r="B46" s="22" t="s">
        <v>269</v>
      </c>
      <c r="C46" s="4" t="s">
        <v>262</v>
      </c>
      <c r="D46" s="23">
        <v>1</v>
      </c>
      <c r="E46" s="5">
        <v>1030000</v>
      </c>
      <c r="F46" s="11">
        <v>1030000</v>
      </c>
    </row>
    <row r="47" spans="1:6" ht="18" customHeight="1" x14ac:dyDescent="0.35">
      <c r="A47" s="18">
        <v>40</v>
      </c>
      <c r="B47" s="26" t="s">
        <v>270</v>
      </c>
      <c r="C47" s="18" t="s">
        <v>262</v>
      </c>
      <c r="D47" s="27">
        <v>1</v>
      </c>
      <c r="E47" s="19">
        <v>380000</v>
      </c>
      <c r="F47" s="11">
        <v>380000</v>
      </c>
    </row>
    <row r="48" spans="1:6" x14ac:dyDescent="0.35">
      <c r="A48" s="158" t="s">
        <v>271</v>
      </c>
      <c r="B48" s="126"/>
      <c r="C48" s="126"/>
      <c r="D48" s="126"/>
      <c r="E48" s="126"/>
      <c r="F48" s="40">
        <v>58234555.847999997</v>
      </c>
    </row>
    <row r="50" spans="1:6" ht="36" customHeight="1" x14ac:dyDescent="0.35">
      <c r="A50" s="157" t="s">
        <v>272</v>
      </c>
      <c r="B50" s="126"/>
      <c r="C50" s="126"/>
      <c r="D50" s="126"/>
      <c r="E50" s="126"/>
      <c r="F50" s="126"/>
    </row>
  </sheetData>
  <mergeCells count="8">
    <mergeCell ref="A1:F1"/>
    <mergeCell ref="A12:F12"/>
    <mergeCell ref="A4:F4"/>
    <mergeCell ref="A50:F50"/>
    <mergeCell ref="A29:F29"/>
    <mergeCell ref="A38:F38"/>
    <mergeCell ref="A2:F2"/>
    <mergeCell ref="A48:E4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5"/>
  <sheetViews>
    <sheetView showGridLines="0" workbookViewId="0">
      <selection sqref="A1:F1"/>
    </sheetView>
  </sheetViews>
  <sheetFormatPr baseColWidth="10" defaultColWidth="9.1796875" defaultRowHeight="14.5" x14ac:dyDescent="0.35"/>
  <cols>
    <col min="1" max="1" width="18" customWidth="1"/>
    <col min="2" max="2" width="34" customWidth="1"/>
    <col min="3" max="3" width="10" customWidth="1"/>
    <col min="4" max="4" width="14" customWidth="1"/>
    <col min="5" max="6" width="16" customWidth="1"/>
  </cols>
  <sheetData>
    <row r="1" spans="1:6" x14ac:dyDescent="0.35">
      <c r="A1" s="142" t="s">
        <v>273</v>
      </c>
      <c r="B1" s="126"/>
      <c r="C1" s="126"/>
      <c r="D1" s="126"/>
      <c r="E1" s="126"/>
      <c r="F1" s="126"/>
    </row>
    <row r="3" spans="1:6" ht="22" customHeight="1" x14ac:dyDescent="0.35">
      <c r="A3" s="161" t="s">
        <v>274</v>
      </c>
      <c r="B3" s="126"/>
      <c r="C3" s="126"/>
      <c r="D3" s="126"/>
      <c r="E3" s="126"/>
      <c r="F3" s="126"/>
    </row>
    <row r="4" spans="1:6" ht="18" customHeight="1" x14ac:dyDescent="0.35">
      <c r="A4" s="41" t="s">
        <v>34</v>
      </c>
      <c r="B4" s="41" t="s">
        <v>48</v>
      </c>
      <c r="C4" s="41" t="s">
        <v>275</v>
      </c>
      <c r="D4" s="41" t="s">
        <v>276</v>
      </c>
      <c r="E4" s="41" t="s">
        <v>277</v>
      </c>
      <c r="F4" s="41" t="s">
        <v>21</v>
      </c>
    </row>
    <row r="5" spans="1:6" ht="16" customHeight="1" x14ac:dyDescent="0.35">
      <c r="A5" s="160" t="s">
        <v>278</v>
      </c>
      <c r="B5" s="126"/>
      <c r="C5" s="126"/>
      <c r="D5" s="126"/>
      <c r="E5" s="126"/>
      <c r="F5" s="126"/>
    </row>
    <row r="6" spans="1:6" ht="16" customHeight="1" x14ac:dyDescent="0.35">
      <c r="A6" s="42" t="s">
        <v>279</v>
      </c>
      <c r="B6" s="26" t="s">
        <v>280</v>
      </c>
      <c r="C6" s="43" t="s">
        <v>63</v>
      </c>
      <c r="D6" s="44">
        <v>1.1000000000000001</v>
      </c>
      <c r="E6" s="45">
        <v>45454</v>
      </c>
      <c r="F6" s="46">
        <v>49999.4</v>
      </c>
    </row>
    <row r="7" spans="1:6" ht="16" customHeight="1" x14ac:dyDescent="0.35">
      <c r="A7" s="160" t="s">
        <v>281</v>
      </c>
      <c r="B7" s="126"/>
      <c r="C7" s="126"/>
      <c r="D7" s="126"/>
      <c r="E7" s="126"/>
      <c r="F7" s="126"/>
    </row>
    <row r="8" spans="1:6" ht="16" customHeight="1" x14ac:dyDescent="0.35">
      <c r="A8" s="42" t="s">
        <v>282</v>
      </c>
      <c r="B8" s="26" t="s">
        <v>283</v>
      </c>
      <c r="C8" s="43" t="s">
        <v>91</v>
      </c>
      <c r="D8" s="44">
        <v>1</v>
      </c>
      <c r="E8" s="45">
        <v>2500</v>
      </c>
      <c r="F8" s="46">
        <v>2500</v>
      </c>
    </row>
    <row r="9" spans="1:6" ht="16" customHeight="1" x14ac:dyDescent="0.35">
      <c r="A9" s="160" t="s">
        <v>284</v>
      </c>
      <c r="B9" s="126"/>
      <c r="C9" s="126"/>
      <c r="D9" s="126"/>
      <c r="E9" s="126"/>
      <c r="F9" s="126"/>
    </row>
    <row r="10" spans="1:6" ht="16" customHeight="1" x14ac:dyDescent="0.35">
      <c r="A10" s="42" t="s">
        <v>285</v>
      </c>
      <c r="B10" s="26" t="s">
        <v>286</v>
      </c>
      <c r="C10" s="43" t="s">
        <v>225</v>
      </c>
      <c r="D10" s="44">
        <v>0.25</v>
      </c>
      <c r="E10" s="45">
        <v>95000</v>
      </c>
      <c r="F10" s="46">
        <v>23750</v>
      </c>
    </row>
    <row r="11" spans="1:6" ht="16" customHeight="1" x14ac:dyDescent="0.35">
      <c r="A11" s="42"/>
      <c r="B11" s="26" t="s">
        <v>287</v>
      </c>
      <c r="C11" s="43" t="s">
        <v>225</v>
      </c>
      <c r="D11" s="44">
        <v>0.15</v>
      </c>
      <c r="E11" s="45">
        <v>60000</v>
      </c>
      <c r="F11" s="46">
        <v>9000</v>
      </c>
    </row>
    <row r="12" spans="1:6" ht="16" customHeight="1" x14ac:dyDescent="0.35">
      <c r="A12" s="160" t="s">
        <v>288</v>
      </c>
      <c r="B12" s="126"/>
      <c r="C12" s="126"/>
      <c r="D12" s="126"/>
      <c r="E12" s="126"/>
      <c r="F12" s="126"/>
    </row>
    <row r="13" spans="1:6" ht="16" customHeight="1" x14ac:dyDescent="0.35">
      <c r="A13" s="42"/>
      <c r="B13" s="26" t="s">
        <v>289</v>
      </c>
      <c r="C13" s="43" t="s">
        <v>91</v>
      </c>
      <c r="D13" s="44">
        <v>1</v>
      </c>
      <c r="E13" s="45">
        <v>2000</v>
      </c>
      <c r="F13" s="46">
        <v>2000</v>
      </c>
    </row>
    <row r="14" spans="1:6" x14ac:dyDescent="0.35">
      <c r="A14" s="159" t="s">
        <v>290</v>
      </c>
      <c r="B14" s="126"/>
      <c r="C14" s="126"/>
      <c r="D14" s="126"/>
      <c r="E14" s="126"/>
      <c r="F14" s="33">
        <v>87249.4</v>
      </c>
    </row>
    <row r="16" spans="1:6" ht="22" customHeight="1" x14ac:dyDescent="0.35">
      <c r="A16" s="161" t="s">
        <v>291</v>
      </c>
      <c r="B16" s="126"/>
      <c r="C16" s="126"/>
      <c r="D16" s="126"/>
      <c r="E16" s="126"/>
      <c r="F16" s="126"/>
    </row>
    <row r="17" spans="1:6" ht="18" customHeight="1" x14ac:dyDescent="0.35">
      <c r="A17" s="41" t="s">
        <v>34</v>
      </c>
      <c r="B17" s="41" t="s">
        <v>48</v>
      </c>
      <c r="C17" s="41" t="s">
        <v>275</v>
      </c>
      <c r="D17" s="41" t="s">
        <v>276</v>
      </c>
      <c r="E17" s="41" t="s">
        <v>277</v>
      </c>
      <c r="F17" s="41" t="s">
        <v>21</v>
      </c>
    </row>
    <row r="18" spans="1:6" ht="16" customHeight="1" x14ac:dyDescent="0.35">
      <c r="A18" s="160" t="s">
        <v>278</v>
      </c>
      <c r="B18" s="126"/>
      <c r="C18" s="126"/>
      <c r="D18" s="126"/>
      <c r="E18" s="126"/>
      <c r="F18" s="126"/>
    </row>
    <row r="19" spans="1:6" ht="16" customHeight="1" x14ac:dyDescent="0.35">
      <c r="A19" s="42" t="s">
        <v>292</v>
      </c>
      <c r="B19" s="26" t="s">
        <v>293</v>
      </c>
      <c r="C19" s="43" t="s">
        <v>82</v>
      </c>
      <c r="D19" s="44">
        <v>1.43</v>
      </c>
      <c r="E19" s="45">
        <v>22400</v>
      </c>
      <c r="F19" s="46">
        <v>32032</v>
      </c>
    </row>
    <row r="20" spans="1:6" ht="16" customHeight="1" x14ac:dyDescent="0.35">
      <c r="A20" s="42" t="s">
        <v>294</v>
      </c>
      <c r="B20" s="26" t="s">
        <v>295</v>
      </c>
      <c r="C20" s="43" t="s">
        <v>73</v>
      </c>
      <c r="D20" s="44">
        <v>0.15</v>
      </c>
      <c r="E20" s="45">
        <v>25000</v>
      </c>
      <c r="F20" s="46">
        <v>3750</v>
      </c>
    </row>
    <row r="21" spans="1:6" ht="16" customHeight="1" x14ac:dyDescent="0.35">
      <c r="A21" s="160" t="s">
        <v>284</v>
      </c>
      <c r="B21" s="126"/>
      <c r="C21" s="126"/>
      <c r="D21" s="126"/>
      <c r="E21" s="126"/>
      <c r="F21" s="126"/>
    </row>
    <row r="22" spans="1:6" ht="16" customHeight="1" x14ac:dyDescent="0.35">
      <c r="A22" s="42" t="s">
        <v>296</v>
      </c>
      <c r="B22" s="26" t="s">
        <v>297</v>
      </c>
      <c r="C22" s="43" t="s">
        <v>298</v>
      </c>
      <c r="D22" s="44">
        <v>0.8</v>
      </c>
      <c r="E22" s="45">
        <v>22500</v>
      </c>
      <c r="F22" s="46">
        <v>18000</v>
      </c>
    </row>
    <row r="23" spans="1:6" ht="16" customHeight="1" x14ac:dyDescent="0.35">
      <c r="A23" s="160" t="s">
        <v>288</v>
      </c>
      <c r="B23" s="126"/>
      <c r="C23" s="126"/>
      <c r="D23" s="126"/>
      <c r="E23" s="126"/>
      <c r="F23" s="126"/>
    </row>
    <row r="24" spans="1:6" ht="16" customHeight="1" x14ac:dyDescent="0.35">
      <c r="A24" s="42" t="s">
        <v>299</v>
      </c>
      <c r="B24" s="26" t="s">
        <v>300</v>
      </c>
      <c r="C24" s="43" t="s">
        <v>82</v>
      </c>
      <c r="D24" s="44">
        <v>1</v>
      </c>
      <c r="E24" s="45">
        <v>0</v>
      </c>
      <c r="F24" s="46">
        <v>0</v>
      </c>
    </row>
    <row r="25" spans="1:6" x14ac:dyDescent="0.35">
      <c r="A25" s="159" t="s">
        <v>301</v>
      </c>
      <c r="B25" s="126"/>
      <c r="C25" s="126"/>
      <c r="D25" s="126"/>
      <c r="E25" s="126"/>
      <c r="F25" s="33">
        <v>53782</v>
      </c>
    </row>
    <row r="27" spans="1:6" ht="22" customHeight="1" x14ac:dyDescent="0.35">
      <c r="A27" s="161" t="s">
        <v>302</v>
      </c>
      <c r="B27" s="126"/>
      <c r="C27" s="126"/>
      <c r="D27" s="126"/>
      <c r="E27" s="126"/>
      <c r="F27" s="126"/>
    </row>
    <row r="28" spans="1:6" ht="18" customHeight="1" x14ac:dyDescent="0.35">
      <c r="A28" s="41" t="s">
        <v>34</v>
      </c>
      <c r="B28" s="41" t="s">
        <v>48</v>
      </c>
      <c r="C28" s="41" t="s">
        <v>275</v>
      </c>
      <c r="D28" s="41" t="s">
        <v>276</v>
      </c>
      <c r="E28" s="41" t="s">
        <v>277</v>
      </c>
      <c r="F28" s="41" t="s">
        <v>21</v>
      </c>
    </row>
    <row r="29" spans="1:6" ht="16" customHeight="1" x14ac:dyDescent="0.35">
      <c r="A29" s="160" t="s">
        <v>278</v>
      </c>
      <c r="B29" s="126"/>
      <c r="C29" s="126"/>
      <c r="D29" s="126"/>
      <c r="E29" s="126"/>
      <c r="F29" s="126"/>
    </row>
    <row r="30" spans="1:6" ht="16" customHeight="1" x14ac:dyDescent="0.35">
      <c r="A30" s="42" t="s">
        <v>303</v>
      </c>
      <c r="B30" s="26" t="s">
        <v>304</v>
      </c>
      <c r="C30" s="43" t="s">
        <v>184</v>
      </c>
      <c r="D30" s="44">
        <v>0.49</v>
      </c>
      <c r="E30" s="45">
        <v>35200</v>
      </c>
      <c r="F30" s="46">
        <v>17248</v>
      </c>
    </row>
    <row r="31" spans="1:6" ht="16" customHeight="1" x14ac:dyDescent="0.35">
      <c r="A31" s="42"/>
      <c r="B31" s="26" t="s">
        <v>305</v>
      </c>
      <c r="C31" s="43" t="s">
        <v>73</v>
      </c>
      <c r="D31" s="44">
        <v>6.5000000000000002E-2</v>
      </c>
      <c r="E31" s="45">
        <v>75000</v>
      </c>
      <c r="F31" s="46">
        <v>4875</v>
      </c>
    </row>
    <row r="32" spans="1:6" ht="16" customHeight="1" x14ac:dyDescent="0.35">
      <c r="A32" s="42"/>
      <c r="B32" s="26" t="s">
        <v>306</v>
      </c>
      <c r="C32" s="43" t="s">
        <v>73</v>
      </c>
      <c r="D32" s="44">
        <v>9.7000000000000003E-2</v>
      </c>
      <c r="E32" s="45">
        <v>95000</v>
      </c>
      <c r="F32" s="46">
        <v>9215</v>
      </c>
    </row>
    <row r="33" spans="1:6" ht="16" customHeight="1" x14ac:dyDescent="0.35">
      <c r="A33" s="42" t="s">
        <v>307</v>
      </c>
      <c r="B33" s="26" t="s">
        <v>308</v>
      </c>
      <c r="C33" s="43" t="s">
        <v>60</v>
      </c>
      <c r="D33" s="44">
        <v>1.1000000000000001</v>
      </c>
      <c r="E33" s="45">
        <v>12500</v>
      </c>
      <c r="F33" s="46">
        <v>13750</v>
      </c>
    </row>
    <row r="34" spans="1:6" ht="16" customHeight="1" x14ac:dyDescent="0.35">
      <c r="A34" s="160" t="s">
        <v>284</v>
      </c>
      <c r="B34" s="126"/>
      <c r="C34" s="126"/>
      <c r="D34" s="126"/>
      <c r="E34" s="126"/>
      <c r="F34" s="126"/>
    </row>
    <row r="35" spans="1:6" ht="16" customHeight="1" x14ac:dyDescent="0.35">
      <c r="A35" s="42" t="s">
        <v>309</v>
      </c>
      <c r="B35" s="26" t="s">
        <v>310</v>
      </c>
      <c r="C35" s="43" t="s">
        <v>60</v>
      </c>
      <c r="D35" s="44">
        <v>1</v>
      </c>
      <c r="E35" s="45">
        <v>22000</v>
      </c>
      <c r="F35" s="46">
        <v>22000</v>
      </c>
    </row>
    <row r="36" spans="1:6" ht="16" customHeight="1" x14ac:dyDescent="0.35">
      <c r="A36" s="160" t="s">
        <v>288</v>
      </c>
      <c r="B36" s="126"/>
      <c r="C36" s="126"/>
      <c r="D36" s="126"/>
      <c r="E36" s="126"/>
      <c r="F36" s="126"/>
    </row>
    <row r="37" spans="1:6" ht="16" customHeight="1" x14ac:dyDescent="0.35">
      <c r="A37" s="42"/>
      <c r="B37" s="26" t="s">
        <v>311</v>
      </c>
      <c r="C37" s="43" t="s">
        <v>60</v>
      </c>
      <c r="D37" s="44">
        <v>1</v>
      </c>
      <c r="E37" s="45">
        <v>7500</v>
      </c>
      <c r="F37" s="46">
        <v>7500</v>
      </c>
    </row>
    <row r="38" spans="1:6" ht="16" customHeight="1" x14ac:dyDescent="0.35">
      <c r="A38" s="42"/>
      <c r="B38" s="26" t="s">
        <v>312</v>
      </c>
      <c r="C38" s="43" t="s">
        <v>91</v>
      </c>
      <c r="D38" s="44">
        <v>1</v>
      </c>
      <c r="E38" s="45">
        <v>0</v>
      </c>
      <c r="F38" s="46">
        <v>0</v>
      </c>
    </row>
    <row r="39" spans="1:6" ht="16" customHeight="1" x14ac:dyDescent="0.35">
      <c r="A39" s="160" t="s">
        <v>281</v>
      </c>
      <c r="B39" s="126"/>
      <c r="C39" s="126"/>
      <c r="D39" s="126"/>
      <c r="E39" s="126"/>
      <c r="F39" s="126"/>
    </row>
    <row r="40" spans="1:6" ht="16" customHeight="1" x14ac:dyDescent="0.35">
      <c r="A40" s="42"/>
      <c r="B40" s="26" t="s">
        <v>313</v>
      </c>
      <c r="C40" s="43" t="s">
        <v>60</v>
      </c>
      <c r="D40" s="44">
        <v>1</v>
      </c>
      <c r="E40" s="45">
        <v>3200</v>
      </c>
      <c r="F40" s="46">
        <v>3200</v>
      </c>
    </row>
    <row r="41" spans="1:6" x14ac:dyDescent="0.35">
      <c r="A41" s="159" t="s">
        <v>314</v>
      </c>
      <c r="B41" s="126"/>
      <c r="C41" s="126"/>
      <c r="D41" s="126"/>
      <c r="E41" s="126"/>
      <c r="F41" s="33">
        <v>77788</v>
      </c>
    </row>
    <row r="43" spans="1:6" ht="22" customHeight="1" x14ac:dyDescent="0.35">
      <c r="A43" s="161" t="s">
        <v>315</v>
      </c>
      <c r="B43" s="126"/>
      <c r="C43" s="126"/>
      <c r="D43" s="126"/>
      <c r="E43" s="126"/>
      <c r="F43" s="126"/>
    </row>
    <row r="44" spans="1:6" ht="18" customHeight="1" x14ac:dyDescent="0.35">
      <c r="A44" s="41" t="s">
        <v>34</v>
      </c>
      <c r="B44" s="41" t="s">
        <v>48</v>
      </c>
      <c r="C44" s="41" t="s">
        <v>275</v>
      </c>
      <c r="D44" s="41" t="s">
        <v>276</v>
      </c>
      <c r="E44" s="41" t="s">
        <v>277</v>
      </c>
      <c r="F44" s="41" t="s">
        <v>21</v>
      </c>
    </row>
    <row r="45" spans="1:6" ht="16" customHeight="1" x14ac:dyDescent="0.35">
      <c r="A45" s="160" t="s">
        <v>278</v>
      </c>
      <c r="B45" s="126"/>
      <c r="C45" s="126"/>
      <c r="D45" s="126"/>
      <c r="E45" s="126"/>
      <c r="F45" s="126"/>
    </row>
    <row r="46" spans="1:6" ht="16" customHeight="1" x14ac:dyDescent="0.35">
      <c r="A46" s="42"/>
      <c r="B46" s="26" t="s">
        <v>316</v>
      </c>
      <c r="C46" s="43" t="s">
        <v>82</v>
      </c>
      <c r="D46" s="44">
        <v>2.5</v>
      </c>
      <c r="E46" s="45">
        <v>704</v>
      </c>
      <c r="F46" s="46">
        <v>1760</v>
      </c>
    </row>
    <row r="47" spans="1:6" ht="16" customHeight="1" x14ac:dyDescent="0.35">
      <c r="A47" s="42"/>
      <c r="B47" s="26" t="s">
        <v>317</v>
      </c>
      <c r="C47" s="43" t="s">
        <v>82</v>
      </c>
      <c r="D47" s="44">
        <v>2</v>
      </c>
      <c r="E47" s="45">
        <v>880</v>
      </c>
      <c r="F47" s="46">
        <v>1760</v>
      </c>
    </row>
    <row r="48" spans="1:6" ht="16" customHeight="1" x14ac:dyDescent="0.35">
      <c r="A48" s="42"/>
      <c r="B48" s="26" t="s">
        <v>318</v>
      </c>
      <c r="C48" s="43" t="s">
        <v>73</v>
      </c>
      <c r="D48" s="44">
        <v>1.4999999999999999E-2</v>
      </c>
      <c r="E48" s="45">
        <v>65000</v>
      </c>
      <c r="F48" s="46">
        <v>975</v>
      </c>
    </row>
    <row r="49" spans="1:6" ht="16" customHeight="1" x14ac:dyDescent="0.35">
      <c r="A49" s="42" t="s">
        <v>294</v>
      </c>
      <c r="B49" s="26" t="s">
        <v>319</v>
      </c>
      <c r="C49" s="43" t="s">
        <v>60</v>
      </c>
      <c r="D49" s="44">
        <v>0.1</v>
      </c>
      <c r="E49" s="45">
        <v>28000</v>
      </c>
      <c r="F49" s="46">
        <v>2800</v>
      </c>
    </row>
    <row r="50" spans="1:6" ht="16" customHeight="1" x14ac:dyDescent="0.35">
      <c r="A50" s="160" t="s">
        <v>284</v>
      </c>
      <c r="B50" s="126"/>
      <c r="C50" s="126"/>
      <c r="D50" s="126"/>
      <c r="E50" s="126"/>
      <c r="F50" s="126"/>
    </row>
    <row r="51" spans="1:6" ht="16" customHeight="1" x14ac:dyDescent="0.35">
      <c r="A51" s="42" t="s">
        <v>320</v>
      </c>
      <c r="B51" s="26" t="s">
        <v>321</v>
      </c>
      <c r="C51" s="43" t="s">
        <v>225</v>
      </c>
      <c r="D51" s="44">
        <v>0.18</v>
      </c>
      <c r="E51" s="45">
        <v>95000</v>
      </c>
      <c r="F51" s="46">
        <v>17100</v>
      </c>
    </row>
    <row r="52" spans="1:6" ht="16" customHeight="1" x14ac:dyDescent="0.35">
      <c r="A52" s="42"/>
      <c r="B52" s="26" t="s">
        <v>322</v>
      </c>
      <c r="C52" s="43" t="s">
        <v>225</v>
      </c>
      <c r="D52" s="44">
        <v>0.18</v>
      </c>
      <c r="E52" s="45">
        <v>60000</v>
      </c>
      <c r="F52" s="46">
        <v>10800</v>
      </c>
    </row>
    <row r="53" spans="1:6" ht="16" customHeight="1" x14ac:dyDescent="0.35">
      <c r="A53" s="160" t="s">
        <v>288</v>
      </c>
      <c r="B53" s="126"/>
      <c r="C53" s="126"/>
      <c r="D53" s="126"/>
      <c r="E53" s="126"/>
      <c r="F53" s="126"/>
    </row>
    <row r="54" spans="1:6" ht="16" customHeight="1" x14ac:dyDescent="0.35">
      <c r="A54" s="42"/>
      <c r="B54" s="26" t="s">
        <v>323</v>
      </c>
      <c r="C54" s="43" t="s">
        <v>91</v>
      </c>
      <c r="D54" s="44">
        <v>1</v>
      </c>
      <c r="E54" s="45">
        <v>0</v>
      </c>
      <c r="F54" s="46">
        <v>0</v>
      </c>
    </row>
    <row r="55" spans="1:6" x14ac:dyDescent="0.35">
      <c r="A55" s="159" t="s">
        <v>324</v>
      </c>
      <c r="B55" s="126"/>
      <c r="C55" s="126"/>
      <c r="D55" s="126"/>
      <c r="E55" s="126"/>
      <c r="F55" s="33">
        <v>35195</v>
      </c>
    </row>
  </sheetData>
  <mergeCells count="23">
    <mergeCell ref="A1:F1"/>
    <mergeCell ref="A45:F45"/>
    <mergeCell ref="A7:F7"/>
    <mergeCell ref="A53:F53"/>
    <mergeCell ref="A29:F29"/>
    <mergeCell ref="A43:F43"/>
    <mergeCell ref="A3:F3"/>
    <mergeCell ref="A5:F5"/>
    <mergeCell ref="A55:E55"/>
    <mergeCell ref="A9:F9"/>
    <mergeCell ref="A34:F34"/>
    <mergeCell ref="A14:E14"/>
    <mergeCell ref="A39:F39"/>
    <mergeCell ref="A36:F36"/>
    <mergeCell ref="A21:F21"/>
    <mergeCell ref="A23:F23"/>
    <mergeCell ref="A25:E25"/>
    <mergeCell ref="A16:F16"/>
    <mergeCell ref="A27:F27"/>
    <mergeCell ref="A12:F12"/>
    <mergeCell ref="A18:F18"/>
    <mergeCell ref="A50:F50"/>
    <mergeCell ref="A41:E4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0DCE-314E-471F-A1FF-DBC09F7D0083}">
  <dimension ref="A1:M38"/>
  <sheetViews>
    <sheetView topLeftCell="A10" workbookViewId="0">
      <selection sqref="A1:L1"/>
    </sheetView>
  </sheetViews>
  <sheetFormatPr baseColWidth="10" defaultColWidth="8.7265625" defaultRowHeight="14.5" x14ac:dyDescent="0.35"/>
  <cols>
    <col min="1" max="1" width="25.26953125" bestFit="1" customWidth="1"/>
    <col min="2" max="2" width="30" customWidth="1"/>
    <col min="3" max="3" width="14" customWidth="1"/>
    <col min="4" max="8" width="10" customWidth="1"/>
    <col min="9" max="10" width="12" customWidth="1"/>
    <col min="11" max="13" width="14" customWidth="1"/>
  </cols>
  <sheetData>
    <row r="1" spans="1:13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8" customHeight="1" x14ac:dyDescent="0.35">
      <c r="A2" s="164" t="s">
        <v>326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ht="18" customHeight="1" x14ac:dyDescent="0.35">
      <c r="A3" s="165" t="s">
        <v>327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13" ht="23" x14ac:dyDescent="0.35">
      <c r="A4" s="48" t="s">
        <v>18</v>
      </c>
      <c r="B4" s="48" t="s">
        <v>328</v>
      </c>
      <c r="C4" s="48" t="s">
        <v>329</v>
      </c>
      <c r="D4" s="48" t="s">
        <v>330</v>
      </c>
      <c r="E4" s="48" t="s">
        <v>331</v>
      </c>
      <c r="F4" s="48" t="s">
        <v>332</v>
      </c>
      <c r="G4" s="48" t="s">
        <v>333</v>
      </c>
      <c r="H4" s="48" t="s">
        <v>334</v>
      </c>
      <c r="I4" s="48" t="s">
        <v>335</v>
      </c>
      <c r="J4" s="48" t="s">
        <v>336</v>
      </c>
      <c r="K4" s="48" t="s">
        <v>337</v>
      </c>
      <c r="L4" s="48"/>
      <c r="M4" s="48"/>
    </row>
    <row r="5" spans="1:13" x14ac:dyDescent="0.35">
      <c r="A5" s="49">
        <v>1</v>
      </c>
      <c r="B5" s="50" t="s">
        <v>338</v>
      </c>
      <c r="C5" s="51">
        <v>0.7</v>
      </c>
      <c r="D5" s="51">
        <v>0.7</v>
      </c>
      <c r="E5" s="51">
        <v>1.05</v>
      </c>
      <c r="F5" s="52">
        <v>2</v>
      </c>
      <c r="G5" s="53">
        <f t="shared" ref="G5:G10" si="0">C5*D5*E5</f>
        <v>0.51449999999999996</v>
      </c>
      <c r="H5" s="53">
        <f t="shared" ref="H5:H10" si="1">G5*F5</f>
        <v>1.0289999999999999</v>
      </c>
      <c r="I5" s="54">
        <v>45000</v>
      </c>
      <c r="J5" s="55">
        <f t="shared" ref="J5:J10" si="2">H5*I5</f>
        <v>46304.999999999993</v>
      </c>
      <c r="K5" s="56" t="s">
        <v>339</v>
      </c>
      <c r="L5" s="57"/>
      <c r="M5" s="57"/>
    </row>
    <row r="6" spans="1:13" x14ac:dyDescent="0.35">
      <c r="A6" s="58">
        <v>2</v>
      </c>
      <c r="B6" s="59" t="s">
        <v>340</v>
      </c>
      <c r="C6" s="60">
        <v>1.5</v>
      </c>
      <c r="D6" s="60">
        <v>1.35</v>
      </c>
      <c r="E6" s="60">
        <v>1.2</v>
      </c>
      <c r="F6" s="61">
        <v>2</v>
      </c>
      <c r="G6" s="62">
        <f t="shared" si="0"/>
        <v>2.4300000000000002</v>
      </c>
      <c r="H6" s="62">
        <f t="shared" si="1"/>
        <v>4.8600000000000003</v>
      </c>
      <c r="I6" s="54">
        <v>45000</v>
      </c>
      <c r="J6" s="63">
        <f t="shared" si="2"/>
        <v>218700</v>
      </c>
      <c r="K6" s="64" t="s">
        <v>339</v>
      </c>
      <c r="L6" s="65"/>
      <c r="M6" s="65"/>
    </row>
    <row r="7" spans="1:13" x14ac:dyDescent="0.35">
      <c r="A7" s="49">
        <v>3</v>
      </c>
      <c r="B7" s="50" t="s">
        <v>341</v>
      </c>
      <c r="C7" s="51">
        <v>1</v>
      </c>
      <c r="D7" s="51">
        <v>0.85</v>
      </c>
      <c r="E7" s="51">
        <v>1</v>
      </c>
      <c r="F7" s="52">
        <v>1</v>
      </c>
      <c r="G7" s="53">
        <f t="shared" si="0"/>
        <v>0.85</v>
      </c>
      <c r="H7" s="53">
        <f t="shared" si="1"/>
        <v>0.85</v>
      </c>
      <c r="I7" s="54">
        <v>45000</v>
      </c>
      <c r="J7" s="55">
        <f t="shared" si="2"/>
        <v>38250</v>
      </c>
      <c r="K7" s="56" t="s">
        <v>339</v>
      </c>
      <c r="L7" s="57"/>
      <c r="M7" s="57"/>
    </row>
    <row r="8" spans="1:13" x14ac:dyDescent="0.35">
      <c r="A8" s="58">
        <v>4</v>
      </c>
      <c r="B8" s="59" t="s">
        <v>342</v>
      </c>
      <c r="C8" s="60">
        <v>1.1499999999999999</v>
      </c>
      <c r="D8" s="60">
        <v>1</v>
      </c>
      <c r="E8" s="60">
        <v>1.3</v>
      </c>
      <c r="F8" s="61">
        <v>1</v>
      </c>
      <c r="G8" s="62">
        <f t="shared" si="0"/>
        <v>1.4949999999999999</v>
      </c>
      <c r="H8" s="62">
        <f t="shared" si="1"/>
        <v>1.4949999999999999</v>
      </c>
      <c r="I8" s="54">
        <v>45000</v>
      </c>
      <c r="J8" s="63">
        <f t="shared" si="2"/>
        <v>67275</v>
      </c>
      <c r="K8" s="64" t="s">
        <v>339</v>
      </c>
      <c r="L8" s="65"/>
      <c r="M8" s="65"/>
    </row>
    <row r="9" spans="1:13" x14ac:dyDescent="0.35">
      <c r="A9" s="49">
        <v>5</v>
      </c>
      <c r="B9" s="50" t="s">
        <v>343</v>
      </c>
      <c r="C9" s="51">
        <v>0.95</v>
      </c>
      <c r="D9" s="51">
        <v>0.7</v>
      </c>
      <c r="E9" s="51">
        <v>1.1000000000000001</v>
      </c>
      <c r="F9" s="52">
        <v>1</v>
      </c>
      <c r="G9" s="53">
        <f t="shared" si="0"/>
        <v>0.73149999999999993</v>
      </c>
      <c r="H9" s="53">
        <f t="shared" si="1"/>
        <v>0.73149999999999993</v>
      </c>
      <c r="I9" s="54">
        <v>45000</v>
      </c>
      <c r="J9" s="55">
        <f t="shared" si="2"/>
        <v>32917.5</v>
      </c>
      <c r="K9" s="56" t="s">
        <v>339</v>
      </c>
      <c r="L9" s="57"/>
      <c r="M9" s="57"/>
    </row>
    <row r="10" spans="1:13" x14ac:dyDescent="0.35">
      <c r="A10" s="58">
        <v>6</v>
      </c>
      <c r="B10" s="59" t="s">
        <v>344</v>
      </c>
      <c r="C10" s="60">
        <v>0.75</v>
      </c>
      <c r="D10" s="60">
        <v>0.6</v>
      </c>
      <c r="E10" s="60">
        <v>0.8</v>
      </c>
      <c r="F10" s="61">
        <v>1</v>
      </c>
      <c r="G10" s="62">
        <f t="shared" si="0"/>
        <v>0.36</v>
      </c>
      <c r="H10" s="62">
        <f t="shared" si="1"/>
        <v>0.36</v>
      </c>
      <c r="I10" s="54">
        <v>45000</v>
      </c>
      <c r="J10" s="63">
        <f t="shared" si="2"/>
        <v>16200</v>
      </c>
      <c r="K10" s="64" t="s">
        <v>339</v>
      </c>
      <c r="L10" s="65"/>
      <c r="M10" s="65"/>
    </row>
    <row r="11" spans="1:13" x14ac:dyDescent="0.35">
      <c r="A11" s="162" t="s">
        <v>345</v>
      </c>
      <c r="B11" s="162"/>
      <c r="C11" s="162"/>
      <c r="D11" s="162"/>
      <c r="E11" s="162"/>
      <c r="F11" s="162"/>
      <c r="G11" s="162"/>
      <c r="H11" s="66">
        <f>SUM(H5,H6,H7,H8,H9,H10)</f>
        <v>9.3254999999999999</v>
      </c>
      <c r="I11" s="67"/>
      <c r="J11" s="68">
        <f>SUM(J5,J6,J7,J8,J9,J10)</f>
        <v>419647.5</v>
      </c>
      <c r="K11" s="69"/>
      <c r="L11" s="69"/>
      <c r="M11" s="69"/>
    </row>
    <row r="13" spans="1:13" ht="18" customHeight="1" x14ac:dyDescent="0.35">
      <c r="A13" s="165" t="s">
        <v>346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</row>
    <row r="14" spans="1:13" ht="23" x14ac:dyDescent="0.35">
      <c r="A14" s="48" t="s">
        <v>18</v>
      </c>
      <c r="B14" s="48" t="s">
        <v>48</v>
      </c>
      <c r="C14" s="48" t="s">
        <v>347</v>
      </c>
      <c r="D14" s="48" t="s">
        <v>348</v>
      </c>
      <c r="E14" s="48" t="s">
        <v>349</v>
      </c>
      <c r="F14" s="48"/>
      <c r="G14" s="48"/>
      <c r="H14" s="48"/>
      <c r="I14" s="48" t="s">
        <v>335</v>
      </c>
      <c r="J14" s="48" t="s">
        <v>350</v>
      </c>
      <c r="K14" s="48" t="s">
        <v>337</v>
      </c>
      <c r="L14" s="48"/>
      <c r="M14" s="48"/>
    </row>
    <row r="15" spans="1:13" ht="18" customHeight="1" x14ac:dyDescent="0.35">
      <c r="A15" s="61">
        <v>1</v>
      </c>
      <c r="B15" s="64" t="s">
        <v>351</v>
      </c>
      <c r="C15" s="70">
        <f>H11</f>
        <v>9.3254999999999999</v>
      </c>
      <c r="D15" s="71">
        <v>1.3</v>
      </c>
      <c r="E15" s="62">
        <f>C15*D15</f>
        <v>12.123150000000001</v>
      </c>
      <c r="F15" s="72"/>
      <c r="G15" s="72"/>
      <c r="H15" s="72"/>
      <c r="I15" s="54">
        <v>35000</v>
      </c>
      <c r="J15" s="63">
        <f>E15*I15</f>
        <v>424310.25</v>
      </c>
      <c r="K15" s="64" t="s">
        <v>352</v>
      </c>
      <c r="L15" s="72"/>
      <c r="M15" s="72"/>
    </row>
    <row r="17" spans="1:13" ht="18" customHeight="1" x14ac:dyDescent="0.35">
      <c r="A17" s="165" t="s">
        <v>353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</row>
    <row r="18" spans="1:13" ht="23" x14ac:dyDescent="0.35">
      <c r="A18" s="48" t="s">
        <v>18</v>
      </c>
      <c r="B18" s="48" t="s">
        <v>354</v>
      </c>
      <c r="C18" s="48" t="s">
        <v>355</v>
      </c>
      <c r="D18" s="48" t="s">
        <v>356</v>
      </c>
      <c r="E18" s="48" t="s">
        <v>357</v>
      </c>
      <c r="F18" s="48" t="s">
        <v>358</v>
      </c>
      <c r="G18" s="48" t="s">
        <v>359</v>
      </c>
      <c r="H18" s="48" t="s">
        <v>360</v>
      </c>
      <c r="I18" s="48" t="s">
        <v>361</v>
      </c>
      <c r="J18" s="48" t="s">
        <v>350</v>
      </c>
      <c r="K18" s="48" t="s">
        <v>337</v>
      </c>
      <c r="L18" s="48"/>
      <c r="M18" s="48"/>
    </row>
    <row r="19" spans="1:13" ht="16.5" customHeight="1" x14ac:dyDescent="0.35">
      <c r="A19" s="49">
        <v>1</v>
      </c>
      <c r="B19" s="56" t="s">
        <v>362</v>
      </c>
      <c r="C19" s="51">
        <v>0.7</v>
      </c>
      <c r="D19" s="51">
        <v>0.7</v>
      </c>
      <c r="E19" s="73">
        <v>0.05</v>
      </c>
      <c r="F19" s="74">
        <f t="shared" ref="F19:F24" si="3">C19*D19</f>
        <v>0.48999999999999994</v>
      </c>
      <c r="G19" s="74">
        <f t="shared" ref="G19:G24" si="4">F19*K19</f>
        <v>0.97999999999999987</v>
      </c>
      <c r="H19" s="53">
        <f t="shared" ref="H19:H24" si="5">G19*E19</f>
        <v>4.8999999999999995E-2</v>
      </c>
      <c r="I19" s="54">
        <v>20000</v>
      </c>
      <c r="J19" s="55">
        <f t="shared" ref="J19:J24" si="6">+I19*G19</f>
        <v>19599.999999999996</v>
      </c>
      <c r="K19" s="52">
        <v>2</v>
      </c>
      <c r="L19" s="75"/>
      <c r="M19" s="75"/>
    </row>
    <row r="20" spans="1:13" ht="16.5" customHeight="1" x14ac:dyDescent="0.35">
      <c r="A20" s="58">
        <v>2</v>
      </c>
      <c r="B20" s="64" t="s">
        <v>363</v>
      </c>
      <c r="C20" s="60">
        <v>1.5</v>
      </c>
      <c r="D20" s="60">
        <v>1.35</v>
      </c>
      <c r="E20" s="73">
        <v>0.05</v>
      </c>
      <c r="F20" s="76">
        <f t="shared" si="3"/>
        <v>2.0250000000000004</v>
      </c>
      <c r="G20" s="76">
        <f t="shared" si="4"/>
        <v>4.0500000000000007</v>
      </c>
      <c r="H20" s="62">
        <f t="shared" si="5"/>
        <v>0.20250000000000004</v>
      </c>
      <c r="I20" s="54">
        <v>20000</v>
      </c>
      <c r="J20" s="55">
        <f t="shared" si="6"/>
        <v>81000.000000000015</v>
      </c>
      <c r="K20" s="61">
        <v>2</v>
      </c>
      <c r="L20" s="72"/>
      <c r="M20" s="72"/>
    </row>
    <row r="21" spans="1:13" ht="16.5" customHeight="1" x14ac:dyDescent="0.35">
      <c r="A21" s="49">
        <v>3</v>
      </c>
      <c r="B21" s="56" t="s">
        <v>364</v>
      </c>
      <c r="C21" s="51">
        <v>1</v>
      </c>
      <c r="D21" s="51">
        <v>0.85</v>
      </c>
      <c r="E21" s="73">
        <v>0.05</v>
      </c>
      <c r="F21" s="74">
        <f t="shared" si="3"/>
        <v>0.85</v>
      </c>
      <c r="G21" s="74">
        <f t="shared" si="4"/>
        <v>0.85</v>
      </c>
      <c r="H21" s="53">
        <f t="shared" si="5"/>
        <v>4.2500000000000003E-2</v>
      </c>
      <c r="I21" s="54">
        <v>20000</v>
      </c>
      <c r="J21" s="55">
        <f t="shared" si="6"/>
        <v>17000</v>
      </c>
      <c r="K21" s="52">
        <v>1</v>
      </c>
      <c r="L21" s="75"/>
      <c r="M21" s="75"/>
    </row>
    <row r="22" spans="1:13" ht="16.5" customHeight="1" x14ac:dyDescent="0.35">
      <c r="A22" s="58">
        <v>4</v>
      </c>
      <c r="B22" s="64" t="s">
        <v>365</v>
      </c>
      <c r="C22" s="60">
        <v>1.1499999999999999</v>
      </c>
      <c r="D22" s="60">
        <v>1</v>
      </c>
      <c r="E22" s="73">
        <v>0.05</v>
      </c>
      <c r="F22" s="76">
        <f t="shared" si="3"/>
        <v>1.1499999999999999</v>
      </c>
      <c r="G22" s="76">
        <f t="shared" si="4"/>
        <v>1.1499999999999999</v>
      </c>
      <c r="H22" s="62">
        <f t="shared" si="5"/>
        <v>5.7499999999999996E-2</v>
      </c>
      <c r="I22" s="54">
        <v>20000</v>
      </c>
      <c r="J22" s="55">
        <f t="shared" si="6"/>
        <v>23000</v>
      </c>
      <c r="K22" s="61">
        <v>1</v>
      </c>
      <c r="L22" s="72"/>
      <c r="M22" s="72"/>
    </row>
    <row r="23" spans="1:13" ht="16.5" customHeight="1" x14ac:dyDescent="0.35">
      <c r="A23" s="49">
        <v>5</v>
      </c>
      <c r="B23" s="56" t="s">
        <v>366</v>
      </c>
      <c r="C23" s="51">
        <v>0.95</v>
      </c>
      <c r="D23" s="51">
        <v>0.7</v>
      </c>
      <c r="E23" s="73">
        <v>0.05</v>
      </c>
      <c r="F23" s="74">
        <f t="shared" si="3"/>
        <v>0.66499999999999992</v>
      </c>
      <c r="G23" s="74">
        <f t="shared" si="4"/>
        <v>0.66499999999999992</v>
      </c>
      <c r="H23" s="53">
        <f t="shared" si="5"/>
        <v>3.3249999999999995E-2</v>
      </c>
      <c r="I23" s="54">
        <v>20000</v>
      </c>
      <c r="J23" s="55">
        <f t="shared" si="6"/>
        <v>13299.999999999998</v>
      </c>
      <c r="K23" s="52">
        <v>1</v>
      </c>
      <c r="L23" s="75"/>
      <c r="M23" s="75"/>
    </row>
    <row r="24" spans="1:13" ht="16.5" customHeight="1" x14ac:dyDescent="0.35">
      <c r="A24" s="58">
        <v>6</v>
      </c>
      <c r="B24" s="64" t="s">
        <v>367</v>
      </c>
      <c r="C24" s="60">
        <v>0.75</v>
      </c>
      <c r="D24" s="60">
        <v>0.6</v>
      </c>
      <c r="E24" s="73">
        <v>0.05</v>
      </c>
      <c r="F24" s="76">
        <f t="shared" si="3"/>
        <v>0.44999999999999996</v>
      </c>
      <c r="G24" s="76">
        <f t="shared" si="4"/>
        <v>0.44999999999999996</v>
      </c>
      <c r="H24" s="62">
        <f t="shared" si="5"/>
        <v>2.2499999999999999E-2</v>
      </c>
      <c r="I24" s="54">
        <v>20000</v>
      </c>
      <c r="J24" s="55">
        <f t="shared" si="6"/>
        <v>9000</v>
      </c>
      <c r="K24" s="61">
        <v>1</v>
      </c>
      <c r="L24" s="72"/>
      <c r="M24" s="72"/>
    </row>
    <row r="25" spans="1:13" x14ac:dyDescent="0.35">
      <c r="A25" s="162" t="s">
        <v>368</v>
      </c>
      <c r="B25" s="162"/>
      <c r="C25" s="162"/>
      <c r="D25" s="162"/>
      <c r="E25" s="162"/>
      <c r="F25" s="162"/>
      <c r="G25" s="77">
        <f>SUM(G19,G20,G21,G22,G23,G24)</f>
        <v>8.1449999999999996</v>
      </c>
      <c r="H25" s="66">
        <f>SUM(H19,H20,H21,H22,H23,H24)</f>
        <v>0.40725000000000006</v>
      </c>
      <c r="I25" s="69"/>
      <c r="J25" s="68">
        <f>SUM(J19,J20,J21,J22,J23,J24)</f>
        <v>162900</v>
      </c>
      <c r="K25" s="69"/>
      <c r="L25" s="69"/>
      <c r="M25" s="69"/>
    </row>
    <row r="27" spans="1:13" ht="24" customHeight="1" thickBot="1" x14ac:dyDescent="0.4">
      <c r="A27" s="166" t="s">
        <v>369</v>
      </c>
      <c r="B27" s="166"/>
      <c r="C27" s="166"/>
      <c r="D27" s="166"/>
      <c r="E27" s="166"/>
      <c r="F27" s="166"/>
      <c r="G27" s="166"/>
      <c r="H27" s="166"/>
      <c r="I27" s="166"/>
      <c r="J27" s="78">
        <f>J11+J15+J25</f>
        <v>1006857.75</v>
      </c>
      <c r="K27" s="79"/>
      <c r="L27" s="79"/>
      <c r="M27" s="79"/>
    </row>
    <row r="28" spans="1:13" ht="15" thickBot="1" x14ac:dyDescent="0.4"/>
    <row r="29" spans="1:13" ht="15" thickBot="1" x14ac:dyDescent="0.4">
      <c r="A29" s="166" t="s">
        <v>370</v>
      </c>
      <c r="B29" s="166"/>
      <c r="C29" s="166"/>
      <c r="D29" s="166"/>
      <c r="E29" s="166"/>
      <c r="F29" s="166"/>
      <c r="G29" s="166"/>
      <c r="H29" s="166"/>
      <c r="I29" s="166"/>
      <c r="J29" s="78">
        <f>+G25</f>
        <v>8.1449999999999996</v>
      </c>
      <c r="K29" s="79"/>
      <c r="L29" s="78">
        <v>60000</v>
      </c>
      <c r="M29" s="78">
        <f>+L29*J29</f>
        <v>488700</v>
      </c>
    </row>
    <row r="31" spans="1:13" x14ac:dyDescent="0.35">
      <c r="A31" s="165" t="s">
        <v>371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</row>
    <row r="32" spans="1:13" ht="23" x14ac:dyDescent="0.35">
      <c r="A32" s="48" t="s">
        <v>372</v>
      </c>
      <c r="B32" s="48" t="s">
        <v>373</v>
      </c>
      <c r="C32" s="48" t="s">
        <v>374</v>
      </c>
      <c r="D32" s="48" t="s">
        <v>375</v>
      </c>
      <c r="E32" s="48" t="s">
        <v>376</v>
      </c>
      <c r="F32" s="48" t="s">
        <v>377</v>
      </c>
      <c r="G32" s="48" t="s">
        <v>378</v>
      </c>
      <c r="H32" s="48" t="s">
        <v>379</v>
      </c>
      <c r="I32" s="48" t="s">
        <v>336</v>
      </c>
      <c r="J32" s="48" t="s">
        <v>380</v>
      </c>
      <c r="K32" s="48" t="s">
        <v>381</v>
      </c>
      <c r="L32" s="48" t="s">
        <v>337</v>
      </c>
    </row>
    <row r="33" spans="1:12" x14ac:dyDescent="0.35">
      <c r="A33" s="80" t="s">
        <v>382</v>
      </c>
      <c r="B33" s="81">
        <f>+H25</f>
        <v>0.40725000000000006</v>
      </c>
      <c r="C33" s="167" t="s">
        <v>383</v>
      </c>
      <c r="D33" s="167"/>
      <c r="E33" s="167"/>
      <c r="F33" s="167"/>
      <c r="G33" s="167"/>
      <c r="H33" s="167"/>
      <c r="I33" s="167"/>
      <c r="J33" s="167"/>
      <c r="K33" s="167"/>
      <c r="L33" s="167"/>
    </row>
    <row r="34" spans="1:12" x14ac:dyDescent="0.35">
      <c r="A34" s="82" t="s">
        <v>384</v>
      </c>
      <c r="B34" s="70">
        <f>B33</f>
        <v>0.40725000000000006</v>
      </c>
      <c r="C34" s="83">
        <v>6.5</v>
      </c>
      <c r="D34" s="84">
        <f>B34*C34</f>
        <v>2.6471250000000004</v>
      </c>
      <c r="E34" s="71">
        <v>1.05</v>
      </c>
      <c r="F34" s="84">
        <f>D34*E34</f>
        <v>2.7794812500000003</v>
      </c>
      <c r="G34" s="65" t="s">
        <v>385</v>
      </c>
      <c r="H34" s="85">
        <f>+'[1]2_CONCRETO_f21'!H40</f>
        <v>704</v>
      </c>
      <c r="I34" s="63">
        <f>F34*H34</f>
        <v>1956.7548000000002</v>
      </c>
      <c r="J34" s="65" t="s">
        <v>386</v>
      </c>
      <c r="K34" s="76">
        <f>ROUNDUP((F34/50),0)</f>
        <v>1</v>
      </c>
      <c r="L34" s="72"/>
    </row>
    <row r="35" spans="1:12" x14ac:dyDescent="0.35">
      <c r="A35" s="82" t="s">
        <v>387</v>
      </c>
      <c r="B35" s="70">
        <f>B33</f>
        <v>0.40725000000000006</v>
      </c>
      <c r="C35" s="83">
        <v>0.7</v>
      </c>
      <c r="D35" s="84">
        <f>B35*C35</f>
        <v>0.28507500000000002</v>
      </c>
      <c r="E35" s="71">
        <v>1.1000000000000001</v>
      </c>
      <c r="F35" s="84">
        <f>D35*E35</f>
        <v>0.31358250000000004</v>
      </c>
      <c r="G35" s="65" t="s">
        <v>388</v>
      </c>
      <c r="H35" s="85">
        <f>+'[1]2_CONCRETO_f21'!H41</f>
        <v>75000</v>
      </c>
      <c r="I35" s="63">
        <f>F35*H35</f>
        <v>23518.687500000004</v>
      </c>
      <c r="J35" s="65" t="s">
        <v>73</v>
      </c>
      <c r="K35" s="76">
        <f>ROUNDUP((F35),0)</f>
        <v>1</v>
      </c>
      <c r="L35" s="72"/>
    </row>
    <row r="36" spans="1:12" x14ac:dyDescent="0.35">
      <c r="A36" s="82" t="s">
        <v>389</v>
      </c>
      <c r="B36" s="70">
        <f>B33</f>
        <v>0.40725000000000006</v>
      </c>
      <c r="C36" s="83">
        <v>0.9</v>
      </c>
      <c r="D36" s="84">
        <f>B36*C36</f>
        <v>0.36652500000000005</v>
      </c>
      <c r="E36" s="71">
        <v>1.1000000000000001</v>
      </c>
      <c r="F36" s="84">
        <f>D36*E36</f>
        <v>0.40317750000000008</v>
      </c>
      <c r="G36" s="65" t="s">
        <v>388</v>
      </c>
      <c r="H36" s="85">
        <f>+'[1]2_CONCRETO_f21'!H42</f>
        <v>95000</v>
      </c>
      <c r="I36" s="63">
        <f>F36*H36</f>
        <v>38301.86250000001</v>
      </c>
      <c r="J36" s="65" t="s">
        <v>73</v>
      </c>
      <c r="K36" s="76">
        <f>ROUNDUP((F36),0)</f>
        <v>1</v>
      </c>
      <c r="L36" s="72"/>
    </row>
    <row r="37" spans="1:12" x14ac:dyDescent="0.35">
      <c r="A37" s="82" t="s">
        <v>390</v>
      </c>
      <c r="B37" s="70">
        <f>B33</f>
        <v>0.40725000000000006</v>
      </c>
      <c r="C37" s="83">
        <v>200</v>
      </c>
      <c r="D37" s="84">
        <f>B37*C37</f>
        <v>81.450000000000017</v>
      </c>
      <c r="E37" s="71">
        <v>1</v>
      </c>
      <c r="F37" s="84">
        <f>D37*E37</f>
        <v>81.450000000000017</v>
      </c>
      <c r="G37" s="65" t="s">
        <v>391</v>
      </c>
      <c r="H37" s="87">
        <v>0</v>
      </c>
      <c r="I37" s="63">
        <f>F37*H37</f>
        <v>0</v>
      </c>
      <c r="J37" s="65" t="s">
        <v>73</v>
      </c>
      <c r="K37" s="76">
        <f>ROUNDUP((F37),0)</f>
        <v>82</v>
      </c>
      <c r="L37" s="72"/>
    </row>
    <row r="38" spans="1:12" x14ac:dyDescent="0.35">
      <c r="A38" s="162" t="s">
        <v>392</v>
      </c>
      <c r="B38" s="162"/>
      <c r="C38" s="162"/>
      <c r="D38" s="162"/>
      <c r="E38" s="162"/>
      <c r="F38" s="162"/>
      <c r="G38" s="162"/>
      <c r="H38" s="162"/>
      <c r="I38" s="68">
        <f>SUM(I34:I37)</f>
        <v>63777.304800000013</v>
      </c>
      <c r="J38" s="69"/>
      <c r="K38" s="69"/>
      <c r="L38" s="69"/>
    </row>
  </sheetData>
  <mergeCells count="12">
    <mergeCell ref="A38:H38"/>
    <mergeCell ref="A1:M1"/>
    <mergeCell ref="A2:M2"/>
    <mergeCell ref="A3:M3"/>
    <mergeCell ref="A11:G11"/>
    <mergeCell ref="A13:M13"/>
    <mergeCell ref="A17:M17"/>
    <mergeCell ref="A25:F25"/>
    <mergeCell ref="A27:I27"/>
    <mergeCell ref="A29:I29"/>
    <mergeCell ref="A31:L31"/>
    <mergeCell ref="C33:L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040F-8823-48AF-A09B-E789B6CCADBD}">
  <dimension ref="A1:L46"/>
  <sheetViews>
    <sheetView topLeftCell="A22" workbookViewId="0">
      <selection sqref="A1:L1"/>
    </sheetView>
  </sheetViews>
  <sheetFormatPr baseColWidth="10" defaultColWidth="8.7265625" defaultRowHeight="14.5" x14ac:dyDescent="0.35"/>
  <cols>
    <col min="1" max="1" width="29.26953125" bestFit="1" customWidth="1"/>
    <col min="2" max="2" width="30" customWidth="1"/>
    <col min="3" max="6" width="10" customWidth="1"/>
    <col min="7" max="8" width="12" customWidth="1"/>
    <col min="9" max="9" width="12.7265625" bestFit="1" customWidth="1"/>
    <col min="10" max="11" width="14" customWidth="1"/>
    <col min="12" max="12" width="12" customWidth="1"/>
  </cols>
  <sheetData>
    <row r="1" spans="1:12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ht="18" customHeight="1" x14ac:dyDescent="0.35">
      <c r="A2" s="164" t="s">
        <v>393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ht="18" customHeight="1" x14ac:dyDescent="0.35">
      <c r="A3" s="165" t="s">
        <v>394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2" ht="21.75" customHeight="1" x14ac:dyDescent="0.35">
      <c r="A4" s="48" t="s">
        <v>372</v>
      </c>
      <c r="B4" s="48" t="s">
        <v>385</v>
      </c>
      <c r="C4" s="48" t="s">
        <v>388</v>
      </c>
      <c r="D4" s="48" t="s">
        <v>395</v>
      </c>
      <c r="E4" s="48" t="s">
        <v>396</v>
      </c>
      <c r="F4" s="48"/>
      <c r="G4" s="48"/>
      <c r="H4" s="48"/>
      <c r="I4" s="48"/>
      <c r="J4" s="48"/>
      <c r="K4" s="48"/>
      <c r="L4" s="48"/>
    </row>
    <row r="5" spans="1:12" x14ac:dyDescent="0.35">
      <c r="A5" s="88" t="s">
        <v>397</v>
      </c>
      <c r="B5" s="52">
        <v>350</v>
      </c>
      <c r="C5" s="52"/>
      <c r="D5" s="52"/>
      <c r="E5" s="52" t="s">
        <v>398</v>
      </c>
      <c r="F5" s="57"/>
      <c r="G5" s="75"/>
      <c r="H5" s="75"/>
      <c r="I5" s="75"/>
      <c r="J5" s="75"/>
      <c r="K5" s="75"/>
      <c r="L5" s="75"/>
    </row>
    <row r="6" spans="1:12" x14ac:dyDescent="0.35">
      <c r="A6" s="88" t="s">
        <v>399</v>
      </c>
      <c r="B6" s="52"/>
      <c r="C6" s="52">
        <v>0.58899999999999997</v>
      </c>
      <c r="D6" s="52">
        <v>1.1000000000000001</v>
      </c>
      <c r="E6" s="56" t="s">
        <v>400</v>
      </c>
      <c r="F6" s="75"/>
      <c r="G6" s="75"/>
      <c r="H6" s="75"/>
      <c r="I6" s="75"/>
      <c r="J6" s="75"/>
      <c r="K6" s="75"/>
      <c r="L6" s="75"/>
    </row>
    <row r="7" spans="1:12" x14ac:dyDescent="0.35">
      <c r="A7" s="88" t="s">
        <v>401</v>
      </c>
      <c r="B7" s="52"/>
      <c r="C7" s="52">
        <v>0.88</v>
      </c>
      <c r="D7" s="52">
        <v>1.1000000000000001</v>
      </c>
      <c r="E7" s="56" t="s">
        <v>400</v>
      </c>
      <c r="F7" s="75"/>
      <c r="G7" s="75"/>
      <c r="H7" s="75"/>
      <c r="I7" s="75"/>
      <c r="J7" s="75"/>
      <c r="K7" s="75"/>
      <c r="L7" s="75"/>
    </row>
    <row r="8" spans="1:12" x14ac:dyDescent="0.35">
      <c r="A8" s="88" t="s">
        <v>402</v>
      </c>
      <c r="B8" s="52">
        <v>175</v>
      </c>
      <c r="C8" s="52"/>
      <c r="D8" s="52"/>
      <c r="E8" s="56" t="s">
        <v>403</v>
      </c>
      <c r="F8" s="75"/>
      <c r="G8" s="75"/>
      <c r="H8" s="75"/>
      <c r="I8" s="75"/>
      <c r="J8" s="75"/>
      <c r="K8" s="75"/>
      <c r="L8" s="75"/>
    </row>
    <row r="10" spans="1:12" ht="18" customHeight="1" x14ac:dyDescent="0.35">
      <c r="A10" s="165" t="s">
        <v>404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</row>
    <row r="11" spans="1:12" ht="23" x14ac:dyDescent="0.35">
      <c r="A11" s="48" t="s">
        <v>18</v>
      </c>
      <c r="B11" s="48" t="s">
        <v>354</v>
      </c>
      <c r="C11" s="48" t="s">
        <v>405</v>
      </c>
      <c r="D11" s="48" t="s">
        <v>406</v>
      </c>
      <c r="E11" s="48" t="s">
        <v>407</v>
      </c>
      <c r="F11" s="48" t="s">
        <v>332</v>
      </c>
      <c r="G11" s="48" t="s">
        <v>333</v>
      </c>
      <c r="H11" s="48" t="s">
        <v>334</v>
      </c>
      <c r="I11" s="48" t="s">
        <v>408</v>
      </c>
      <c r="J11" s="48" t="s">
        <v>336</v>
      </c>
      <c r="K11" s="48" t="s">
        <v>337</v>
      </c>
      <c r="L11" s="48"/>
    </row>
    <row r="12" spans="1:12" x14ac:dyDescent="0.35">
      <c r="A12" s="49">
        <v>1</v>
      </c>
      <c r="B12" s="50" t="s">
        <v>409</v>
      </c>
      <c r="C12" s="51">
        <f>+'[1]1_EXCAV_SOLADO'!C5</f>
        <v>0.7</v>
      </c>
      <c r="D12" s="51">
        <f>+'[1]1_EXCAV_SOLADO'!D5</f>
        <v>0.7</v>
      </c>
      <c r="E12" s="51">
        <v>0.35</v>
      </c>
      <c r="F12" s="52">
        <v>2</v>
      </c>
      <c r="G12" s="53">
        <f t="shared" ref="G12:G17" si="0">C12*D12*E12</f>
        <v>0.17149999999999996</v>
      </c>
      <c r="H12" s="53">
        <f t="shared" ref="H12:H17" si="1">G12*F12</f>
        <v>0.34299999999999992</v>
      </c>
      <c r="I12" s="54">
        <v>150000</v>
      </c>
      <c r="J12" s="55">
        <f t="shared" ref="J12:J17" si="2">H12*I12</f>
        <v>51449.999999999985</v>
      </c>
      <c r="K12" s="56" t="s">
        <v>410</v>
      </c>
      <c r="L12" s="75"/>
    </row>
    <row r="13" spans="1:12" x14ac:dyDescent="0.35">
      <c r="A13" s="58">
        <v>2</v>
      </c>
      <c r="B13" s="59" t="s">
        <v>411</v>
      </c>
      <c r="C13" s="51">
        <f>+'[1]1_EXCAV_SOLADO'!C6</f>
        <v>1.5</v>
      </c>
      <c r="D13" s="51">
        <f>+'[1]1_EXCAV_SOLADO'!D6</f>
        <v>1.35</v>
      </c>
      <c r="E13" s="60">
        <v>0.4</v>
      </c>
      <c r="F13" s="61">
        <v>2</v>
      </c>
      <c r="G13" s="62">
        <f t="shared" si="0"/>
        <v>0.81000000000000016</v>
      </c>
      <c r="H13" s="62">
        <f t="shared" si="1"/>
        <v>1.6200000000000003</v>
      </c>
      <c r="I13" s="54">
        <v>150000</v>
      </c>
      <c r="J13" s="63">
        <f t="shared" si="2"/>
        <v>243000.00000000006</v>
      </c>
      <c r="K13" s="64" t="s">
        <v>410</v>
      </c>
      <c r="L13" s="72"/>
    </row>
    <row r="14" spans="1:12" x14ac:dyDescent="0.35">
      <c r="A14" s="49">
        <v>3</v>
      </c>
      <c r="B14" s="50" t="s">
        <v>412</v>
      </c>
      <c r="C14" s="51">
        <f>+'[1]1_EXCAV_SOLADO'!C7</f>
        <v>1</v>
      </c>
      <c r="D14" s="51">
        <f>+'[1]1_EXCAV_SOLADO'!D7</f>
        <v>0.85</v>
      </c>
      <c r="E14" s="51">
        <v>0.35</v>
      </c>
      <c r="F14" s="52">
        <v>1</v>
      </c>
      <c r="G14" s="53">
        <f t="shared" si="0"/>
        <v>0.29749999999999999</v>
      </c>
      <c r="H14" s="53">
        <f t="shared" si="1"/>
        <v>0.29749999999999999</v>
      </c>
      <c r="I14" s="54">
        <v>150000</v>
      </c>
      <c r="J14" s="55">
        <f t="shared" si="2"/>
        <v>44625</v>
      </c>
      <c r="K14" s="56" t="s">
        <v>410</v>
      </c>
      <c r="L14" s="75"/>
    </row>
    <row r="15" spans="1:12" x14ac:dyDescent="0.35">
      <c r="A15" s="58">
        <v>4</v>
      </c>
      <c r="B15" s="59" t="s">
        <v>413</v>
      </c>
      <c r="C15" s="51">
        <f>+'[1]1_EXCAV_SOLADO'!C8</f>
        <v>1.1499999999999999</v>
      </c>
      <c r="D15" s="51">
        <f>+'[1]1_EXCAV_SOLADO'!D8</f>
        <v>1</v>
      </c>
      <c r="E15" s="60">
        <v>0.4</v>
      </c>
      <c r="F15" s="61">
        <v>1</v>
      </c>
      <c r="G15" s="62">
        <f t="shared" si="0"/>
        <v>0.45999999999999996</v>
      </c>
      <c r="H15" s="62">
        <f t="shared" si="1"/>
        <v>0.45999999999999996</v>
      </c>
      <c r="I15" s="54">
        <v>150000</v>
      </c>
      <c r="J15" s="63">
        <f t="shared" si="2"/>
        <v>69000</v>
      </c>
      <c r="K15" s="64" t="s">
        <v>410</v>
      </c>
      <c r="L15" s="72"/>
    </row>
    <row r="16" spans="1:12" x14ac:dyDescent="0.35">
      <c r="A16" s="49">
        <v>5</v>
      </c>
      <c r="B16" s="50" t="s">
        <v>414</v>
      </c>
      <c r="C16" s="51">
        <f>+'[1]1_EXCAV_SOLADO'!C9</f>
        <v>0.95</v>
      </c>
      <c r="D16" s="51">
        <f>+'[1]1_EXCAV_SOLADO'!D9</f>
        <v>0.7</v>
      </c>
      <c r="E16" s="51">
        <v>0.35</v>
      </c>
      <c r="F16" s="52">
        <v>1</v>
      </c>
      <c r="G16" s="53">
        <f t="shared" si="0"/>
        <v>0.23274999999999996</v>
      </c>
      <c r="H16" s="53">
        <f t="shared" si="1"/>
        <v>0.23274999999999996</v>
      </c>
      <c r="I16" s="54">
        <v>150000</v>
      </c>
      <c r="J16" s="55">
        <f t="shared" si="2"/>
        <v>34912.499999999993</v>
      </c>
      <c r="K16" s="56" t="s">
        <v>410</v>
      </c>
      <c r="L16" s="75"/>
    </row>
    <row r="17" spans="1:12" x14ac:dyDescent="0.35">
      <c r="A17" s="58">
        <v>6</v>
      </c>
      <c r="B17" s="59" t="s">
        <v>415</v>
      </c>
      <c r="C17" s="51">
        <f>+'[1]1_EXCAV_SOLADO'!C10</f>
        <v>0.75</v>
      </c>
      <c r="D17" s="51">
        <f>+'[1]1_EXCAV_SOLADO'!D10</f>
        <v>0.6</v>
      </c>
      <c r="E17" s="60">
        <v>0.3</v>
      </c>
      <c r="F17" s="61">
        <v>1</v>
      </c>
      <c r="G17" s="62">
        <f t="shared" si="0"/>
        <v>0.13499999999999998</v>
      </c>
      <c r="H17" s="62">
        <f t="shared" si="1"/>
        <v>0.13499999999999998</v>
      </c>
      <c r="I17" s="54">
        <v>150000</v>
      </c>
      <c r="J17" s="63">
        <f t="shared" si="2"/>
        <v>20249.999999999996</v>
      </c>
      <c r="K17" s="64" t="s">
        <v>410</v>
      </c>
      <c r="L17" s="72"/>
    </row>
    <row r="18" spans="1:12" x14ac:dyDescent="0.35">
      <c r="A18" s="162" t="s">
        <v>416</v>
      </c>
      <c r="B18" s="162"/>
      <c r="C18" s="162"/>
      <c r="D18" s="162"/>
      <c r="E18" s="162"/>
      <c r="F18" s="162"/>
      <c r="G18" s="162"/>
      <c r="H18" s="66">
        <f>SUM(H12,H13,H14,H15,H16,H17)</f>
        <v>3.0882499999999999</v>
      </c>
      <c r="I18" s="69"/>
      <c r="J18" s="68">
        <f>+SUM(J12:J17)</f>
        <v>463237.50000000006</v>
      </c>
      <c r="K18" s="69"/>
      <c r="L18" s="69"/>
    </row>
    <row r="20" spans="1:12" ht="18" customHeight="1" x14ac:dyDescent="0.35">
      <c r="A20" s="165" t="s">
        <v>417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 ht="23" x14ac:dyDescent="0.35">
      <c r="A21" s="48" t="s">
        <v>18</v>
      </c>
      <c r="B21" s="48" t="s">
        <v>418</v>
      </c>
      <c r="C21" s="48" t="s">
        <v>405</v>
      </c>
      <c r="D21" s="48" t="s">
        <v>406</v>
      </c>
      <c r="E21" s="48" t="s">
        <v>407</v>
      </c>
      <c r="F21" s="48" t="s">
        <v>332</v>
      </c>
      <c r="G21" s="48" t="s">
        <v>333</v>
      </c>
      <c r="H21" s="48" t="s">
        <v>334</v>
      </c>
      <c r="I21" s="48" t="s">
        <v>408</v>
      </c>
      <c r="J21" s="48" t="s">
        <v>336</v>
      </c>
      <c r="K21" s="48" t="s">
        <v>419</v>
      </c>
      <c r="L21" s="48" t="s">
        <v>420</v>
      </c>
    </row>
    <row r="22" spans="1:12" x14ac:dyDescent="0.35">
      <c r="A22" s="49">
        <v>1</v>
      </c>
      <c r="B22" s="50" t="s">
        <v>421</v>
      </c>
      <c r="C22" s="51">
        <v>0.45</v>
      </c>
      <c r="D22" s="51">
        <v>0.45</v>
      </c>
      <c r="E22" s="51">
        <v>1.05</v>
      </c>
      <c r="F22" s="52">
        <v>2</v>
      </c>
      <c r="G22" s="53">
        <f t="shared" ref="G22:G27" si="3">C22*D22*E22</f>
        <v>0.21262500000000004</v>
      </c>
      <c r="H22" s="53">
        <f t="shared" ref="H22:H27" si="4">G22*F22</f>
        <v>0.42525000000000007</v>
      </c>
      <c r="I22" s="54">
        <v>150000</v>
      </c>
      <c r="J22" s="55">
        <f t="shared" ref="J22:J27" si="5">H22*I22</f>
        <v>63787.500000000007</v>
      </c>
      <c r="K22" s="74">
        <f t="shared" ref="K22:K27" si="6">2*(C22+D22)</f>
        <v>1.8</v>
      </c>
      <c r="L22" s="74">
        <f t="shared" ref="L22:L27" si="7">K22*E22*F22</f>
        <v>3.7800000000000002</v>
      </c>
    </row>
    <row r="23" spans="1:12" x14ac:dyDescent="0.35">
      <c r="A23" s="58">
        <v>2</v>
      </c>
      <c r="B23" s="59" t="s">
        <v>422</v>
      </c>
      <c r="C23" s="60">
        <v>0.45</v>
      </c>
      <c r="D23" s="60">
        <v>0.45</v>
      </c>
      <c r="E23" s="60">
        <v>0.8</v>
      </c>
      <c r="F23" s="61">
        <v>2</v>
      </c>
      <c r="G23" s="62">
        <f t="shared" si="3"/>
        <v>0.16200000000000003</v>
      </c>
      <c r="H23" s="62">
        <f t="shared" si="4"/>
        <v>0.32400000000000007</v>
      </c>
      <c r="I23" s="54">
        <v>150000</v>
      </c>
      <c r="J23" s="63">
        <f t="shared" si="5"/>
        <v>48600.000000000007</v>
      </c>
      <c r="K23" s="76">
        <f t="shared" si="6"/>
        <v>1.8</v>
      </c>
      <c r="L23" s="76">
        <f t="shared" si="7"/>
        <v>2.8800000000000003</v>
      </c>
    </row>
    <row r="24" spans="1:12" x14ac:dyDescent="0.35">
      <c r="A24" s="49">
        <v>3</v>
      </c>
      <c r="B24" s="50" t="s">
        <v>423</v>
      </c>
      <c r="C24" s="51">
        <v>0.47</v>
      </c>
      <c r="D24" s="51">
        <v>0.47</v>
      </c>
      <c r="E24" s="51">
        <v>0.65</v>
      </c>
      <c r="F24" s="52">
        <v>1</v>
      </c>
      <c r="G24" s="53">
        <f t="shared" si="3"/>
        <v>0.14358499999999999</v>
      </c>
      <c r="H24" s="53">
        <f t="shared" si="4"/>
        <v>0.14358499999999999</v>
      </c>
      <c r="I24" s="54">
        <v>150000</v>
      </c>
      <c r="J24" s="55">
        <f t="shared" si="5"/>
        <v>21537.75</v>
      </c>
      <c r="K24" s="74">
        <f t="shared" si="6"/>
        <v>1.88</v>
      </c>
      <c r="L24" s="74">
        <f t="shared" si="7"/>
        <v>1.222</v>
      </c>
    </row>
    <row r="25" spans="1:12" x14ac:dyDescent="0.35">
      <c r="A25" s="58">
        <v>4</v>
      </c>
      <c r="B25" s="59" t="s">
        <v>424</v>
      </c>
      <c r="C25" s="60">
        <v>0.47</v>
      </c>
      <c r="D25" s="60">
        <v>0.47</v>
      </c>
      <c r="E25" s="60">
        <v>1.3</v>
      </c>
      <c r="F25" s="61">
        <v>1</v>
      </c>
      <c r="G25" s="62">
        <f t="shared" si="3"/>
        <v>0.28716999999999998</v>
      </c>
      <c r="H25" s="62">
        <f t="shared" si="4"/>
        <v>0.28716999999999998</v>
      </c>
      <c r="I25" s="54">
        <v>150000</v>
      </c>
      <c r="J25" s="63">
        <f t="shared" si="5"/>
        <v>43075.5</v>
      </c>
      <c r="K25" s="76">
        <f t="shared" si="6"/>
        <v>1.88</v>
      </c>
      <c r="L25" s="76">
        <f t="shared" si="7"/>
        <v>2.444</v>
      </c>
    </row>
    <row r="26" spans="1:12" x14ac:dyDescent="0.35">
      <c r="A26" s="49">
        <v>5</v>
      </c>
      <c r="B26" s="50" t="s">
        <v>425</v>
      </c>
      <c r="C26" s="51">
        <v>0.45</v>
      </c>
      <c r="D26" s="51">
        <v>0.45</v>
      </c>
      <c r="E26" s="51">
        <v>1.3</v>
      </c>
      <c r="F26" s="52">
        <v>1</v>
      </c>
      <c r="G26" s="53">
        <f t="shared" si="3"/>
        <v>0.26325000000000004</v>
      </c>
      <c r="H26" s="53">
        <f t="shared" si="4"/>
        <v>0.26325000000000004</v>
      </c>
      <c r="I26" s="54">
        <v>150000</v>
      </c>
      <c r="J26" s="55">
        <f t="shared" si="5"/>
        <v>39487.500000000007</v>
      </c>
      <c r="K26" s="74">
        <f t="shared" si="6"/>
        <v>1.8</v>
      </c>
      <c r="L26" s="74">
        <f t="shared" si="7"/>
        <v>2.3400000000000003</v>
      </c>
    </row>
    <row r="27" spans="1:12" x14ac:dyDescent="0.35">
      <c r="A27" s="58">
        <v>6</v>
      </c>
      <c r="B27" s="59" t="s">
        <v>426</v>
      </c>
      <c r="C27" s="60">
        <v>0.35</v>
      </c>
      <c r="D27" s="60">
        <v>0.4</v>
      </c>
      <c r="E27" s="60">
        <v>0.65</v>
      </c>
      <c r="F27" s="61">
        <v>1</v>
      </c>
      <c r="G27" s="62">
        <f t="shared" si="3"/>
        <v>9.0999999999999998E-2</v>
      </c>
      <c r="H27" s="62">
        <f t="shared" si="4"/>
        <v>9.0999999999999998E-2</v>
      </c>
      <c r="I27" s="54">
        <v>150000</v>
      </c>
      <c r="J27" s="63">
        <f t="shared" si="5"/>
        <v>13650</v>
      </c>
      <c r="K27" s="76">
        <f t="shared" si="6"/>
        <v>1.5</v>
      </c>
      <c r="L27" s="76">
        <f t="shared" si="7"/>
        <v>0.97500000000000009</v>
      </c>
    </row>
    <row r="28" spans="1:12" x14ac:dyDescent="0.35">
      <c r="A28" s="162" t="s">
        <v>427</v>
      </c>
      <c r="B28" s="162"/>
      <c r="C28" s="162"/>
      <c r="D28" s="162"/>
      <c r="E28" s="162"/>
      <c r="F28" s="162"/>
      <c r="G28" s="162"/>
      <c r="H28" s="66">
        <f>SUM(H22,H23,H24,H25,H26,H27)</f>
        <v>1.5342550000000001</v>
      </c>
      <c r="I28" s="69"/>
      <c r="J28" s="68">
        <f>+SUM(J22:J27)</f>
        <v>230138.25</v>
      </c>
      <c r="K28" s="69"/>
      <c r="L28" s="77">
        <f>+SUM(L22:L27)</f>
        <v>13.641</v>
      </c>
    </row>
    <row r="29" spans="1:12" x14ac:dyDescent="0.35">
      <c r="A29" s="162" t="s">
        <v>428</v>
      </c>
      <c r="B29" s="162"/>
      <c r="C29" s="162"/>
      <c r="D29" s="162"/>
      <c r="E29" s="162"/>
      <c r="F29" s="162"/>
      <c r="G29" s="162"/>
      <c r="H29" s="162"/>
      <c r="I29" s="54">
        <v>55000</v>
      </c>
      <c r="J29" s="69"/>
      <c r="K29" s="69"/>
      <c r="L29" s="68">
        <f>L28*I29</f>
        <v>750255</v>
      </c>
    </row>
    <row r="31" spans="1:12" ht="18" customHeight="1" x14ac:dyDescent="0.35">
      <c r="A31" s="165" t="s">
        <v>429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</row>
    <row r="32" spans="1:12" ht="23" x14ac:dyDescent="0.35">
      <c r="A32" s="48" t="s">
        <v>18</v>
      </c>
      <c r="B32" s="48" t="s">
        <v>430</v>
      </c>
      <c r="C32" s="48" t="s">
        <v>405</v>
      </c>
      <c r="D32" s="48" t="s">
        <v>406</v>
      </c>
      <c r="E32" s="48" t="s">
        <v>407</v>
      </c>
      <c r="F32" s="48" t="s">
        <v>332</v>
      </c>
      <c r="G32" s="48" t="s">
        <v>333</v>
      </c>
      <c r="H32" s="48" t="s">
        <v>334</v>
      </c>
      <c r="I32" s="48" t="s">
        <v>408</v>
      </c>
      <c r="J32" s="48" t="s">
        <v>336</v>
      </c>
      <c r="K32" s="48" t="s">
        <v>337</v>
      </c>
      <c r="L32" s="48"/>
    </row>
    <row r="33" spans="1:12" x14ac:dyDescent="0.35">
      <c r="A33" s="49">
        <v>1</v>
      </c>
      <c r="B33" s="50" t="s">
        <v>431</v>
      </c>
      <c r="C33" s="51">
        <v>0.19</v>
      </c>
      <c r="D33" s="51">
        <v>0.19</v>
      </c>
      <c r="E33" s="51">
        <v>3.8759999999999999</v>
      </c>
      <c r="F33" s="52">
        <v>4</v>
      </c>
      <c r="G33" s="53">
        <f>C33*D33*E33</f>
        <v>0.13992360000000001</v>
      </c>
      <c r="H33" s="53">
        <f>G33*F33</f>
        <v>0.55969440000000004</v>
      </c>
      <c r="I33" s="54">
        <v>250000</v>
      </c>
      <c r="J33" s="55">
        <f>H33*I33</f>
        <v>139923.6</v>
      </c>
      <c r="K33" s="56" t="s">
        <v>432</v>
      </c>
      <c r="L33" s="75"/>
    </row>
    <row r="34" spans="1:12" x14ac:dyDescent="0.35">
      <c r="A34" s="58">
        <v>2</v>
      </c>
      <c r="B34" s="59" t="s">
        <v>433</v>
      </c>
      <c r="C34" s="60">
        <v>0.20599999999999999</v>
      </c>
      <c r="D34" s="60">
        <v>0.20599999999999999</v>
      </c>
      <c r="E34" s="60">
        <v>3.8759999999999999</v>
      </c>
      <c r="F34" s="61">
        <v>2</v>
      </c>
      <c r="G34" s="62">
        <f>C34*D34*E34</f>
        <v>0.16448193599999997</v>
      </c>
      <c r="H34" s="62">
        <f>G34*F34</f>
        <v>0.32896387199999994</v>
      </c>
      <c r="I34" s="54">
        <f>+I33</f>
        <v>250000</v>
      </c>
      <c r="J34" s="63">
        <f>H34*I34</f>
        <v>82240.967999999979</v>
      </c>
      <c r="K34" s="64" t="s">
        <v>432</v>
      </c>
      <c r="L34" s="72"/>
    </row>
    <row r="35" spans="1:12" x14ac:dyDescent="0.35">
      <c r="A35" s="162" t="s">
        <v>434</v>
      </c>
      <c r="B35" s="162"/>
      <c r="C35" s="162"/>
      <c r="D35" s="162"/>
      <c r="E35" s="162"/>
      <c r="F35" s="162"/>
      <c r="G35" s="162"/>
      <c r="H35" s="66">
        <f>SUM(H33,H34)</f>
        <v>0.88865827200000003</v>
      </c>
      <c r="I35" s="69"/>
      <c r="J35" s="68">
        <f>+SUM(J33:J34)</f>
        <v>222164.56799999997</v>
      </c>
      <c r="K35" s="69"/>
      <c r="L35" s="69"/>
    </row>
    <row r="37" spans="1:12" ht="18" customHeight="1" x14ac:dyDescent="0.35">
      <c r="A37" s="165" t="s">
        <v>371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</row>
    <row r="38" spans="1:12" ht="34.5" x14ac:dyDescent="0.35">
      <c r="A38" s="48" t="s">
        <v>372</v>
      </c>
      <c r="B38" s="48" t="s">
        <v>373</v>
      </c>
      <c r="C38" s="48" t="s">
        <v>374</v>
      </c>
      <c r="D38" s="48" t="s">
        <v>375</v>
      </c>
      <c r="E38" s="48" t="s">
        <v>376</v>
      </c>
      <c r="F38" s="48" t="s">
        <v>377</v>
      </c>
      <c r="G38" s="48" t="s">
        <v>378</v>
      </c>
      <c r="H38" s="48" t="s">
        <v>379</v>
      </c>
      <c r="I38" s="48" t="s">
        <v>336</v>
      </c>
      <c r="J38" s="48" t="s">
        <v>380</v>
      </c>
      <c r="K38" s="48" t="s">
        <v>381</v>
      </c>
      <c r="L38" s="48" t="s">
        <v>337</v>
      </c>
    </row>
    <row r="39" spans="1:12" x14ac:dyDescent="0.35">
      <c r="A39" s="80" t="s">
        <v>382</v>
      </c>
      <c r="B39" s="81">
        <f>H18+H28+H35</f>
        <v>5.5111632720000001</v>
      </c>
      <c r="C39" s="167" t="s">
        <v>383</v>
      </c>
      <c r="D39" s="167"/>
      <c r="E39" s="167"/>
      <c r="F39" s="167"/>
      <c r="G39" s="167"/>
      <c r="H39" s="167"/>
      <c r="I39" s="167"/>
      <c r="J39" s="167"/>
      <c r="K39" s="167"/>
      <c r="L39" s="167"/>
    </row>
    <row r="40" spans="1:12" ht="16.5" customHeight="1" x14ac:dyDescent="0.35">
      <c r="A40" s="82" t="s">
        <v>384</v>
      </c>
      <c r="B40" s="70">
        <f>B39</f>
        <v>5.5111632720000001</v>
      </c>
      <c r="C40" s="83">
        <f>B5</f>
        <v>350</v>
      </c>
      <c r="D40" s="84">
        <f>B40*C40</f>
        <v>1928.9071452000001</v>
      </c>
      <c r="E40" s="71">
        <v>1.05</v>
      </c>
      <c r="F40" s="84">
        <f>D40*E40</f>
        <v>2025.3525024600001</v>
      </c>
      <c r="G40" s="65" t="s">
        <v>385</v>
      </c>
      <c r="H40" s="85">
        <f>+[1]PARAMETROS!D13/50</f>
        <v>704</v>
      </c>
      <c r="I40" s="63">
        <f>F40*H40</f>
        <v>1425848.1617318401</v>
      </c>
      <c r="J40" s="65" t="s">
        <v>386</v>
      </c>
      <c r="K40" s="86">
        <f>ROUNDUP(F40/50,0)</f>
        <v>41</v>
      </c>
      <c r="L40" s="72"/>
    </row>
    <row r="41" spans="1:12" ht="16.5" customHeight="1" x14ac:dyDescent="0.35">
      <c r="A41" s="82" t="s">
        <v>387</v>
      </c>
      <c r="B41" s="70">
        <f>B39</f>
        <v>5.5111632720000001</v>
      </c>
      <c r="C41" s="83">
        <f>C6</f>
        <v>0.58899999999999997</v>
      </c>
      <c r="D41" s="84">
        <f>B41*C41</f>
        <v>3.2460751672079997</v>
      </c>
      <c r="E41" s="71">
        <v>1.1000000000000001</v>
      </c>
      <c r="F41" s="84">
        <f>D41*E41</f>
        <v>3.5706826839287999</v>
      </c>
      <c r="G41" s="65" t="s">
        <v>388</v>
      </c>
      <c r="H41" s="85">
        <f>+[1]PARAMETROS!D14</f>
        <v>75000</v>
      </c>
      <c r="I41" s="63">
        <f>F41*H41</f>
        <v>267801.20129465999</v>
      </c>
      <c r="J41" s="65" t="s">
        <v>73</v>
      </c>
      <c r="K41" s="86">
        <f>ROUNDUP(F41,0)</f>
        <v>4</v>
      </c>
      <c r="L41" s="72"/>
    </row>
    <row r="42" spans="1:12" ht="16.5" customHeight="1" x14ac:dyDescent="0.35">
      <c r="A42" s="82" t="s">
        <v>389</v>
      </c>
      <c r="B42" s="70">
        <f>B39</f>
        <v>5.5111632720000001</v>
      </c>
      <c r="C42" s="83">
        <f>C7</f>
        <v>0.88</v>
      </c>
      <c r="D42" s="84">
        <f>B42*C42</f>
        <v>4.84982367936</v>
      </c>
      <c r="E42" s="71">
        <v>1.1000000000000001</v>
      </c>
      <c r="F42" s="84">
        <f>D42*E42</f>
        <v>5.3348060472960004</v>
      </c>
      <c r="G42" s="65" t="s">
        <v>388</v>
      </c>
      <c r="H42" s="85">
        <f>+[1]PARAMETROS!D15</f>
        <v>95000</v>
      </c>
      <c r="I42" s="63">
        <f>F42*H42</f>
        <v>506806.57449312002</v>
      </c>
      <c r="J42" s="65" t="s">
        <v>73</v>
      </c>
      <c r="K42" s="86">
        <f>ROUNDUP(F42,0)</f>
        <v>6</v>
      </c>
      <c r="L42" s="72"/>
    </row>
    <row r="43" spans="1:12" ht="16.5" customHeight="1" x14ac:dyDescent="0.35">
      <c r="A43" s="82" t="s">
        <v>390</v>
      </c>
      <c r="B43" s="70">
        <f>B39</f>
        <v>5.5111632720000001</v>
      </c>
      <c r="C43" s="83">
        <f>B8</f>
        <v>175</v>
      </c>
      <c r="D43" s="84">
        <f>B43*C43</f>
        <v>964.45357260000003</v>
      </c>
      <c r="E43" s="71">
        <v>1</v>
      </c>
      <c r="F43" s="84">
        <f>D43*E43</f>
        <v>964.45357260000003</v>
      </c>
      <c r="G43" s="65" t="s">
        <v>391</v>
      </c>
      <c r="H43" s="87">
        <v>0</v>
      </c>
      <c r="I43" s="63">
        <f>F43*H43</f>
        <v>0</v>
      </c>
      <c r="J43" s="65" t="s">
        <v>73</v>
      </c>
      <c r="K43" s="86">
        <f>ROUNDUP(F43,0)</f>
        <v>965</v>
      </c>
      <c r="L43" s="72"/>
    </row>
    <row r="44" spans="1:12" x14ac:dyDescent="0.35">
      <c r="A44" s="162" t="s">
        <v>392</v>
      </c>
      <c r="B44" s="162"/>
      <c r="C44" s="162"/>
      <c r="D44" s="162"/>
      <c r="E44" s="162"/>
      <c r="F44" s="162"/>
      <c r="G44" s="162"/>
      <c r="H44" s="162"/>
      <c r="I44" s="68">
        <f>SUM(I40:I43)</f>
        <v>2200455.9375196202</v>
      </c>
      <c r="J44" s="69"/>
      <c r="K44" s="69"/>
      <c r="L44" s="69"/>
    </row>
    <row r="46" spans="1:12" ht="24" customHeight="1" thickBot="1" x14ac:dyDescent="0.4">
      <c r="A46" s="166" t="s">
        <v>435</v>
      </c>
      <c r="B46" s="166"/>
      <c r="C46" s="166"/>
      <c r="D46" s="166"/>
      <c r="E46" s="166"/>
      <c r="F46" s="166"/>
      <c r="G46" s="166"/>
      <c r="H46" s="166"/>
      <c r="I46" s="166"/>
      <c r="J46" s="78">
        <f>J18+J28+J35</f>
        <v>915540.31799999997</v>
      </c>
      <c r="K46" s="79"/>
      <c r="L46" s="79"/>
    </row>
  </sheetData>
  <mergeCells count="14">
    <mergeCell ref="A20:L20"/>
    <mergeCell ref="A1:L1"/>
    <mergeCell ref="A2:L2"/>
    <mergeCell ref="A3:L3"/>
    <mergeCell ref="A10:L10"/>
    <mergeCell ref="A18:G18"/>
    <mergeCell ref="A44:H44"/>
    <mergeCell ref="A46:I46"/>
    <mergeCell ref="A28:G28"/>
    <mergeCell ref="A29:H29"/>
    <mergeCell ref="A31:L31"/>
    <mergeCell ref="A35:G35"/>
    <mergeCell ref="A37:L37"/>
    <mergeCell ref="C39:L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5136-A899-4ED0-9C82-08DC8F2A1D13}">
  <dimension ref="A1:L52"/>
  <sheetViews>
    <sheetView topLeftCell="A28" workbookViewId="0">
      <selection sqref="A1:L1"/>
    </sheetView>
  </sheetViews>
  <sheetFormatPr baseColWidth="10" defaultColWidth="8.7265625" defaultRowHeight="14.5" x14ac:dyDescent="0.35"/>
  <cols>
    <col min="1" max="1" width="32.7265625" bestFit="1" customWidth="1"/>
    <col min="2" max="2" width="29.26953125" bestFit="1" customWidth="1"/>
    <col min="3" max="3" width="9.81640625" bestFit="1" customWidth="1"/>
    <col min="4" max="4" width="7.7265625" bestFit="1" customWidth="1"/>
    <col min="5" max="5" width="8.54296875" bestFit="1" customWidth="1"/>
    <col min="6" max="7" width="9.7265625" bestFit="1" customWidth="1"/>
    <col min="8" max="8" width="11.7265625" bestFit="1" customWidth="1"/>
    <col min="9" max="9" width="8.1796875" bestFit="1" customWidth="1"/>
    <col min="10" max="11" width="10.1796875" bestFit="1" customWidth="1"/>
    <col min="12" max="12" width="22" bestFit="1" customWidth="1"/>
  </cols>
  <sheetData>
    <row r="1" spans="1:12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x14ac:dyDescent="0.35">
      <c r="A2" s="164" t="s">
        <v>436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x14ac:dyDescent="0.35">
      <c r="A3" s="165" t="s">
        <v>437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2" ht="34.5" x14ac:dyDescent="0.35">
      <c r="A4" s="48" t="s">
        <v>438</v>
      </c>
      <c r="B4" s="48" t="s">
        <v>439</v>
      </c>
      <c r="C4" s="48" t="s">
        <v>440</v>
      </c>
      <c r="D4" s="48"/>
      <c r="E4" s="48"/>
      <c r="F4" s="48"/>
      <c r="G4" s="48"/>
      <c r="H4" s="48"/>
      <c r="I4" s="48"/>
      <c r="J4" s="48"/>
      <c r="K4" s="48"/>
      <c r="L4" s="48"/>
    </row>
    <row r="5" spans="1:12" x14ac:dyDescent="0.35">
      <c r="A5" s="49">
        <v>1</v>
      </c>
      <c r="B5" s="88" t="s">
        <v>441</v>
      </c>
      <c r="C5" s="89">
        <v>0.56000000000000005</v>
      </c>
      <c r="D5" s="90">
        <v>6</v>
      </c>
      <c r="E5" s="75"/>
      <c r="F5" s="75"/>
      <c r="G5" s="75"/>
      <c r="H5" s="75"/>
      <c r="I5" s="75"/>
      <c r="J5" s="75"/>
      <c r="K5" s="75"/>
      <c r="L5" s="75"/>
    </row>
    <row r="6" spans="1:12" x14ac:dyDescent="0.35">
      <c r="A6" s="58">
        <v>2</v>
      </c>
      <c r="B6" s="82" t="s">
        <v>442</v>
      </c>
      <c r="C6" s="89">
        <v>0.99399999999999999</v>
      </c>
      <c r="D6" s="90">
        <v>6</v>
      </c>
      <c r="E6" s="72"/>
      <c r="F6" s="72"/>
      <c r="G6" s="72"/>
      <c r="H6" s="72"/>
      <c r="I6" s="72"/>
      <c r="J6" s="72"/>
      <c r="K6" s="72"/>
      <c r="L6" s="72"/>
    </row>
    <row r="7" spans="1:12" x14ac:dyDescent="0.35">
      <c r="A7" s="49">
        <v>3</v>
      </c>
      <c r="B7" s="88" t="s">
        <v>443</v>
      </c>
      <c r="C7" s="89">
        <v>1.552</v>
      </c>
      <c r="D7" s="90">
        <v>6</v>
      </c>
      <c r="E7" s="75"/>
      <c r="F7" s="75"/>
      <c r="G7" s="75"/>
      <c r="H7" s="75"/>
      <c r="I7" s="75"/>
      <c r="J7" s="75"/>
      <c r="K7" s="75"/>
      <c r="L7" s="75"/>
    </row>
    <row r="9" spans="1:12" x14ac:dyDescent="0.35">
      <c r="A9" s="165" t="s">
        <v>444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</row>
    <row r="10" spans="1:12" ht="23" x14ac:dyDescent="0.35">
      <c r="A10" s="48" t="s">
        <v>18</v>
      </c>
      <c r="B10" s="48" t="s">
        <v>445</v>
      </c>
      <c r="C10" s="48" t="s">
        <v>446</v>
      </c>
      <c r="D10" s="48" t="s">
        <v>447</v>
      </c>
      <c r="E10" s="48" t="s">
        <v>448</v>
      </c>
      <c r="F10" s="48" t="s">
        <v>449</v>
      </c>
      <c r="G10" s="48" t="s">
        <v>450</v>
      </c>
      <c r="H10" s="48" t="s">
        <v>451</v>
      </c>
      <c r="I10" s="48" t="s">
        <v>452</v>
      </c>
      <c r="J10" s="48" t="s">
        <v>453</v>
      </c>
      <c r="K10" s="48" t="s">
        <v>454</v>
      </c>
      <c r="L10" s="48" t="s">
        <v>337</v>
      </c>
    </row>
    <row r="11" spans="1:12" ht="23" x14ac:dyDescent="0.35">
      <c r="A11" s="49">
        <v>1</v>
      </c>
      <c r="B11" s="50" t="s">
        <v>455</v>
      </c>
      <c r="C11" s="52">
        <v>2</v>
      </c>
      <c r="D11" s="52">
        <v>3</v>
      </c>
      <c r="E11" s="51">
        <v>0.95</v>
      </c>
      <c r="F11" s="52">
        <v>2</v>
      </c>
      <c r="G11" s="74">
        <f t="shared" ref="G11:G22" si="0">C11*D11*E11*F11</f>
        <v>11.399999999999999</v>
      </c>
      <c r="H11" s="91">
        <f>G11*C6</f>
        <v>11.331599999999998</v>
      </c>
      <c r="I11" s="92">
        <f>[1]PARAMETROS!$D$11</f>
        <v>4998</v>
      </c>
      <c r="J11" s="55">
        <f t="shared" ref="J11:J22" si="1">H11*I11</f>
        <v>56635.33679999999</v>
      </c>
      <c r="K11" s="93">
        <f>ROUNDUP(G11/D6,0)</f>
        <v>2</v>
      </c>
      <c r="L11" s="56" t="s">
        <v>456</v>
      </c>
    </row>
    <row r="12" spans="1:12" ht="23" x14ac:dyDescent="0.35">
      <c r="A12" s="58">
        <v>2</v>
      </c>
      <c r="B12" s="59" t="s">
        <v>457</v>
      </c>
      <c r="C12" s="61">
        <v>2</v>
      </c>
      <c r="D12" s="61">
        <v>3</v>
      </c>
      <c r="E12" s="60">
        <v>0.95</v>
      </c>
      <c r="F12" s="61">
        <v>2</v>
      </c>
      <c r="G12" s="76">
        <f t="shared" si="0"/>
        <v>11.399999999999999</v>
      </c>
      <c r="H12" s="84">
        <f>G12*C6</f>
        <v>11.331599999999998</v>
      </c>
      <c r="I12" s="85">
        <f>[1]PARAMETROS!$D$11</f>
        <v>4998</v>
      </c>
      <c r="J12" s="63">
        <f t="shared" si="1"/>
        <v>56635.33679999999</v>
      </c>
      <c r="K12" s="86">
        <f>ROUNDUP(G12/D6,0)</f>
        <v>2</v>
      </c>
      <c r="L12" s="64" t="s">
        <v>456</v>
      </c>
    </row>
    <row r="13" spans="1:12" ht="23" x14ac:dyDescent="0.35">
      <c r="A13" s="49">
        <v>3</v>
      </c>
      <c r="B13" s="50" t="s">
        <v>458</v>
      </c>
      <c r="C13" s="52">
        <v>2</v>
      </c>
      <c r="D13" s="52">
        <v>4</v>
      </c>
      <c r="E13" s="51">
        <v>0.97</v>
      </c>
      <c r="F13" s="52">
        <v>2</v>
      </c>
      <c r="G13" s="74">
        <f t="shared" si="0"/>
        <v>15.52</v>
      </c>
      <c r="H13" s="91">
        <f>G13*C6</f>
        <v>15.426879999999999</v>
      </c>
      <c r="I13" s="85">
        <f>[1]PARAMETROS!$D$11</f>
        <v>4998</v>
      </c>
      <c r="J13" s="55">
        <f t="shared" si="1"/>
        <v>77103.546239999996</v>
      </c>
      <c r="K13" s="93">
        <f>ROUNDUP(G13/D6,0)</f>
        <v>3</v>
      </c>
      <c r="L13" s="56" t="s">
        <v>456</v>
      </c>
    </row>
    <row r="14" spans="1:12" ht="23" x14ac:dyDescent="0.35">
      <c r="A14" s="58">
        <v>4</v>
      </c>
      <c r="B14" s="59" t="s">
        <v>459</v>
      </c>
      <c r="C14" s="61">
        <v>2</v>
      </c>
      <c r="D14" s="61">
        <v>4</v>
      </c>
      <c r="E14" s="60">
        <v>0.97</v>
      </c>
      <c r="F14" s="61">
        <v>2</v>
      </c>
      <c r="G14" s="76">
        <f t="shared" si="0"/>
        <v>15.52</v>
      </c>
      <c r="H14" s="84">
        <f>G14*C6</f>
        <v>15.426879999999999</v>
      </c>
      <c r="I14" s="85">
        <f>[1]PARAMETROS!$D$11</f>
        <v>4998</v>
      </c>
      <c r="J14" s="63">
        <f t="shared" si="1"/>
        <v>77103.546239999996</v>
      </c>
      <c r="K14" s="86">
        <f>ROUNDUP(G14/D6,0)</f>
        <v>3</v>
      </c>
      <c r="L14" s="64" t="s">
        <v>456</v>
      </c>
    </row>
    <row r="15" spans="1:12" x14ac:dyDescent="0.35">
      <c r="A15" s="49">
        <v>5</v>
      </c>
      <c r="B15" s="50" t="s">
        <v>460</v>
      </c>
      <c r="C15" s="52">
        <v>2</v>
      </c>
      <c r="D15" s="52">
        <v>3</v>
      </c>
      <c r="E15" s="51">
        <v>0.95</v>
      </c>
      <c r="F15" s="52">
        <v>1</v>
      </c>
      <c r="G15" s="74">
        <f t="shared" si="0"/>
        <v>5.6999999999999993</v>
      </c>
      <c r="H15" s="91">
        <f>G15*C6</f>
        <v>5.6657999999999991</v>
      </c>
      <c r="I15" s="85">
        <f>[1]PARAMETROS!$D$11</f>
        <v>4998</v>
      </c>
      <c r="J15" s="55">
        <f t="shared" si="1"/>
        <v>28317.668399999995</v>
      </c>
      <c r="K15" s="93">
        <f>ROUNDUP(G15/D6,0)</f>
        <v>1</v>
      </c>
      <c r="L15" s="56" t="s">
        <v>456</v>
      </c>
    </row>
    <row r="16" spans="1:12" x14ac:dyDescent="0.35">
      <c r="A16" s="58">
        <v>6</v>
      </c>
      <c r="B16" s="59" t="s">
        <v>461</v>
      </c>
      <c r="C16" s="61">
        <v>2</v>
      </c>
      <c r="D16" s="61">
        <v>3</v>
      </c>
      <c r="E16" s="60">
        <v>0.95</v>
      </c>
      <c r="F16" s="61">
        <v>1</v>
      </c>
      <c r="G16" s="76">
        <f t="shared" si="0"/>
        <v>5.6999999999999993</v>
      </c>
      <c r="H16" s="84">
        <f>G16*C6</f>
        <v>5.6657999999999991</v>
      </c>
      <c r="I16" s="85">
        <f>[1]PARAMETROS!$D$11</f>
        <v>4998</v>
      </c>
      <c r="J16" s="63">
        <f t="shared" si="1"/>
        <v>28317.668399999995</v>
      </c>
      <c r="K16" s="86">
        <f>ROUNDUP(G16/D6,0)</f>
        <v>1</v>
      </c>
      <c r="L16" s="64" t="s">
        <v>456</v>
      </c>
    </row>
    <row r="17" spans="1:12" x14ac:dyDescent="0.35">
      <c r="A17" s="49">
        <v>7</v>
      </c>
      <c r="B17" s="50" t="s">
        <v>462</v>
      </c>
      <c r="C17" s="52">
        <v>2</v>
      </c>
      <c r="D17" s="52">
        <v>4</v>
      </c>
      <c r="E17" s="51">
        <v>0.97</v>
      </c>
      <c r="F17" s="52">
        <v>1</v>
      </c>
      <c r="G17" s="74">
        <f t="shared" si="0"/>
        <v>7.76</v>
      </c>
      <c r="H17" s="91">
        <f>G17*C6</f>
        <v>7.7134399999999994</v>
      </c>
      <c r="I17" s="85">
        <f>[1]PARAMETROS!$D$11</f>
        <v>4998</v>
      </c>
      <c r="J17" s="55">
        <f t="shared" si="1"/>
        <v>38551.773119999998</v>
      </c>
      <c r="K17" s="93">
        <f>ROUNDUP(G17/D6,0)</f>
        <v>2</v>
      </c>
      <c r="L17" s="56" t="s">
        <v>456</v>
      </c>
    </row>
    <row r="18" spans="1:12" x14ac:dyDescent="0.35">
      <c r="A18" s="58">
        <v>8</v>
      </c>
      <c r="B18" s="59" t="s">
        <v>463</v>
      </c>
      <c r="C18" s="61">
        <v>2</v>
      </c>
      <c r="D18" s="61">
        <v>4</v>
      </c>
      <c r="E18" s="60">
        <v>0.97</v>
      </c>
      <c r="F18" s="61">
        <v>1</v>
      </c>
      <c r="G18" s="76">
        <f t="shared" si="0"/>
        <v>7.76</v>
      </c>
      <c r="H18" s="84">
        <f>G18*C6</f>
        <v>7.7134399999999994</v>
      </c>
      <c r="I18" s="85">
        <f>[1]PARAMETROS!$D$11</f>
        <v>4998</v>
      </c>
      <c r="J18" s="63">
        <f t="shared" si="1"/>
        <v>38551.773119999998</v>
      </c>
      <c r="K18" s="86">
        <f>ROUNDUP(G18/D6,0)</f>
        <v>2</v>
      </c>
      <c r="L18" s="64" t="s">
        <v>456</v>
      </c>
    </row>
    <row r="19" spans="1:12" x14ac:dyDescent="0.35">
      <c r="A19" s="49">
        <v>9</v>
      </c>
      <c r="B19" s="50" t="s">
        <v>464</v>
      </c>
      <c r="C19" s="52">
        <v>2</v>
      </c>
      <c r="D19" s="52">
        <v>3</v>
      </c>
      <c r="E19" s="51">
        <v>0.95</v>
      </c>
      <c r="F19" s="52">
        <v>1</v>
      </c>
      <c r="G19" s="74">
        <f t="shared" si="0"/>
        <v>5.6999999999999993</v>
      </c>
      <c r="H19" s="91">
        <f>G19*C6</f>
        <v>5.6657999999999991</v>
      </c>
      <c r="I19" s="85">
        <f>[1]PARAMETROS!$D$11</f>
        <v>4998</v>
      </c>
      <c r="J19" s="55">
        <f t="shared" si="1"/>
        <v>28317.668399999995</v>
      </c>
      <c r="K19" s="93">
        <f>ROUNDUP(G19/D6,0)</f>
        <v>1</v>
      </c>
      <c r="L19" s="56" t="s">
        <v>456</v>
      </c>
    </row>
    <row r="20" spans="1:12" x14ac:dyDescent="0.35">
      <c r="A20" s="58">
        <v>10</v>
      </c>
      <c r="B20" s="59" t="s">
        <v>465</v>
      </c>
      <c r="C20" s="61">
        <v>2</v>
      </c>
      <c r="D20" s="61">
        <v>3</v>
      </c>
      <c r="E20" s="60">
        <v>0.95</v>
      </c>
      <c r="F20" s="61">
        <v>1</v>
      </c>
      <c r="G20" s="76">
        <f t="shared" si="0"/>
        <v>5.6999999999999993</v>
      </c>
      <c r="H20" s="84">
        <f>G20*C6</f>
        <v>5.6657999999999991</v>
      </c>
      <c r="I20" s="85">
        <f>[1]PARAMETROS!$D$11</f>
        <v>4998</v>
      </c>
      <c r="J20" s="63">
        <f t="shared" si="1"/>
        <v>28317.668399999995</v>
      </c>
      <c r="K20" s="86">
        <f>ROUNDUP(G20/D6,0)</f>
        <v>1</v>
      </c>
      <c r="L20" s="64" t="s">
        <v>456</v>
      </c>
    </row>
    <row r="21" spans="1:12" x14ac:dyDescent="0.35">
      <c r="A21" s="49">
        <v>11</v>
      </c>
      <c r="B21" s="50" t="s">
        <v>466</v>
      </c>
      <c r="C21" s="52">
        <v>2</v>
      </c>
      <c r="D21" s="52">
        <v>3</v>
      </c>
      <c r="E21" s="51">
        <v>0.85</v>
      </c>
      <c r="F21" s="52">
        <v>1</v>
      </c>
      <c r="G21" s="74">
        <f t="shared" si="0"/>
        <v>5.0999999999999996</v>
      </c>
      <c r="H21" s="91">
        <f>G21*C6</f>
        <v>5.0693999999999999</v>
      </c>
      <c r="I21" s="85">
        <f>[1]PARAMETROS!$D$11</f>
        <v>4998</v>
      </c>
      <c r="J21" s="55">
        <f t="shared" si="1"/>
        <v>25336.861199999999</v>
      </c>
      <c r="K21" s="93">
        <f>ROUNDUP(G21/D6,0)</f>
        <v>1</v>
      </c>
      <c r="L21" s="56" t="s">
        <v>456</v>
      </c>
    </row>
    <row r="22" spans="1:12" x14ac:dyDescent="0.35">
      <c r="A22" s="58">
        <v>12</v>
      </c>
      <c r="B22" s="59" t="s">
        <v>467</v>
      </c>
      <c r="C22" s="61">
        <v>2</v>
      </c>
      <c r="D22" s="61">
        <v>3</v>
      </c>
      <c r="E22" s="60">
        <v>0.9</v>
      </c>
      <c r="F22" s="61">
        <v>1</v>
      </c>
      <c r="G22" s="76">
        <f t="shared" si="0"/>
        <v>5.4</v>
      </c>
      <c r="H22" s="84">
        <f>G22*C6</f>
        <v>5.3676000000000004</v>
      </c>
      <c r="I22" s="85">
        <f>[1]PARAMETROS!$D$11</f>
        <v>4998</v>
      </c>
      <c r="J22" s="63">
        <f t="shared" si="1"/>
        <v>26827.264800000001</v>
      </c>
      <c r="K22" s="86">
        <f>ROUNDUP(G22/D6,0)</f>
        <v>1</v>
      </c>
      <c r="L22" s="64" t="s">
        <v>456</v>
      </c>
    </row>
    <row r="23" spans="1:12" x14ac:dyDescent="0.35">
      <c r="A23" s="162" t="s">
        <v>468</v>
      </c>
      <c r="B23" s="162"/>
      <c r="C23" s="162"/>
      <c r="D23" s="162"/>
      <c r="E23" s="162"/>
      <c r="F23" s="162"/>
      <c r="G23" s="77">
        <f>SUM(G11,G12,G13,G14,G15,G16,G17,G18,G19,G20,G21,G22)</f>
        <v>102.66000000000001</v>
      </c>
      <c r="H23" s="94">
        <f>SUM(H11,H12,H13,H14,H15,H16,H17,H18,H19,H20,H21,H22)</f>
        <v>102.04404000000001</v>
      </c>
      <c r="I23" s="69"/>
      <c r="J23" s="68">
        <f>SUM(J11,J12,J13,J14,J15,J16,J17,J18,J19,J20,J21,J22)</f>
        <v>510016.11191999988</v>
      </c>
      <c r="K23" s="95">
        <f>SUM(K11,K12,K13,K14,K15,K16,K17,K18,K19,K20,K21,K22)</f>
        <v>20</v>
      </c>
      <c r="L23" s="69"/>
    </row>
    <row r="25" spans="1:12" x14ac:dyDescent="0.35">
      <c r="A25" s="165" t="s">
        <v>469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 ht="23" x14ac:dyDescent="0.35">
      <c r="A26" s="48" t="s">
        <v>18</v>
      </c>
      <c r="B26" s="48" t="s">
        <v>470</v>
      </c>
      <c r="C26" s="48" t="s">
        <v>471</v>
      </c>
      <c r="D26" s="48" t="s">
        <v>472</v>
      </c>
      <c r="E26" s="48" t="s">
        <v>473</v>
      </c>
      <c r="F26" s="48" t="s">
        <v>449</v>
      </c>
      <c r="G26" s="48" t="s">
        <v>450</v>
      </c>
      <c r="H26" s="48" t="s">
        <v>451</v>
      </c>
      <c r="I26" s="48" t="s">
        <v>452</v>
      </c>
      <c r="J26" s="48" t="s">
        <v>453</v>
      </c>
      <c r="K26" s="48" t="s">
        <v>454</v>
      </c>
      <c r="L26" s="48" t="s">
        <v>337</v>
      </c>
    </row>
    <row r="27" spans="1:12" ht="23" x14ac:dyDescent="0.35">
      <c r="A27" s="49">
        <v>1</v>
      </c>
      <c r="B27" s="50" t="s">
        <v>474</v>
      </c>
      <c r="C27" s="52" t="s">
        <v>475</v>
      </c>
      <c r="D27" s="52">
        <v>4</v>
      </c>
      <c r="E27" s="51">
        <v>1.35</v>
      </c>
      <c r="F27" s="52">
        <v>2</v>
      </c>
      <c r="G27" s="74">
        <f t="shared" ref="G27:G32" si="2">D27*E27*F27</f>
        <v>10.8</v>
      </c>
      <c r="H27" s="91">
        <f>G27*C7</f>
        <v>16.761600000000001</v>
      </c>
      <c r="I27" s="85">
        <f>[1]PARAMETROS!$D$11</f>
        <v>4998</v>
      </c>
      <c r="J27" s="55">
        <f t="shared" ref="J27:J32" si="3">H27*I27</f>
        <v>83774.476800000004</v>
      </c>
      <c r="K27" s="93">
        <f>ROUNDUP(G27/D7,0)</f>
        <v>2</v>
      </c>
      <c r="L27" s="56" t="s">
        <v>456</v>
      </c>
    </row>
    <row r="28" spans="1:12" ht="23" x14ac:dyDescent="0.35">
      <c r="A28" s="58">
        <v>2</v>
      </c>
      <c r="B28" s="59" t="s">
        <v>476</v>
      </c>
      <c r="C28" s="61" t="s">
        <v>475</v>
      </c>
      <c r="D28" s="61">
        <v>4</v>
      </c>
      <c r="E28" s="60">
        <v>1.1000000000000001</v>
      </c>
      <c r="F28" s="61">
        <v>2</v>
      </c>
      <c r="G28" s="76">
        <f t="shared" si="2"/>
        <v>8.8000000000000007</v>
      </c>
      <c r="H28" s="84">
        <f>G28*C7</f>
        <v>13.657600000000002</v>
      </c>
      <c r="I28" s="85">
        <f>[1]PARAMETROS!$D$11</f>
        <v>4998</v>
      </c>
      <c r="J28" s="63">
        <f t="shared" si="3"/>
        <v>68260.684800000017</v>
      </c>
      <c r="K28" s="86">
        <f>ROUNDUP(G28/D7,0)</f>
        <v>2</v>
      </c>
      <c r="L28" s="64" t="s">
        <v>456</v>
      </c>
    </row>
    <row r="29" spans="1:12" ht="23" x14ac:dyDescent="0.35">
      <c r="A29" s="49">
        <v>3</v>
      </c>
      <c r="B29" s="50" t="s">
        <v>477</v>
      </c>
      <c r="C29" s="52" t="s">
        <v>475</v>
      </c>
      <c r="D29" s="52">
        <v>4</v>
      </c>
      <c r="E29" s="51">
        <v>0.95</v>
      </c>
      <c r="F29" s="52">
        <v>1</v>
      </c>
      <c r="G29" s="74">
        <f t="shared" si="2"/>
        <v>3.8</v>
      </c>
      <c r="H29" s="91">
        <f>G29*C7</f>
        <v>5.8975999999999997</v>
      </c>
      <c r="I29" s="85">
        <f>[1]PARAMETROS!$D$11</f>
        <v>4998</v>
      </c>
      <c r="J29" s="55">
        <f t="shared" si="3"/>
        <v>29476.2048</v>
      </c>
      <c r="K29" s="93">
        <f>ROUNDUP(G29/D7,0)</f>
        <v>1</v>
      </c>
      <c r="L29" s="56" t="s">
        <v>456</v>
      </c>
    </row>
    <row r="30" spans="1:12" ht="23" x14ac:dyDescent="0.35">
      <c r="A30" s="58">
        <v>4</v>
      </c>
      <c r="B30" s="59" t="s">
        <v>478</v>
      </c>
      <c r="C30" s="61" t="s">
        <v>475</v>
      </c>
      <c r="D30" s="61">
        <v>4</v>
      </c>
      <c r="E30" s="60">
        <v>1.6</v>
      </c>
      <c r="F30" s="61">
        <v>1</v>
      </c>
      <c r="G30" s="76">
        <f t="shared" si="2"/>
        <v>6.4</v>
      </c>
      <c r="H30" s="84">
        <f>G30*C7</f>
        <v>9.9328000000000003</v>
      </c>
      <c r="I30" s="85">
        <f>[1]PARAMETROS!$D$11</f>
        <v>4998</v>
      </c>
      <c r="J30" s="63">
        <f t="shared" si="3"/>
        <v>49644.134400000003</v>
      </c>
      <c r="K30" s="86">
        <f>ROUNDUP(G30/D7,0)</f>
        <v>2</v>
      </c>
      <c r="L30" s="64" t="s">
        <v>456</v>
      </c>
    </row>
    <row r="31" spans="1:12" ht="23" x14ac:dyDescent="0.35">
      <c r="A31" s="49">
        <v>5</v>
      </c>
      <c r="B31" s="50" t="s">
        <v>479</v>
      </c>
      <c r="C31" s="52" t="s">
        <v>475</v>
      </c>
      <c r="D31" s="52">
        <v>4</v>
      </c>
      <c r="E31" s="51">
        <v>1.6</v>
      </c>
      <c r="F31" s="52">
        <v>1</v>
      </c>
      <c r="G31" s="74">
        <f t="shared" si="2"/>
        <v>6.4</v>
      </c>
      <c r="H31" s="91">
        <f>G31*C7</f>
        <v>9.9328000000000003</v>
      </c>
      <c r="I31" s="85">
        <f>[1]PARAMETROS!$D$11</f>
        <v>4998</v>
      </c>
      <c r="J31" s="55">
        <f t="shared" si="3"/>
        <v>49644.134400000003</v>
      </c>
      <c r="K31" s="93">
        <f>ROUNDUP(G31/D7,0)</f>
        <v>2</v>
      </c>
      <c r="L31" s="56" t="s">
        <v>456</v>
      </c>
    </row>
    <row r="32" spans="1:12" ht="23" x14ac:dyDescent="0.35">
      <c r="A32" s="58">
        <v>6</v>
      </c>
      <c r="B32" s="59" t="s">
        <v>480</v>
      </c>
      <c r="C32" s="61" t="s">
        <v>481</v>
      </c>
      <c r="D32" s="61">
        <v>4</v>
      </c>
      <c r="E32" s="60">
        <v>0.95</v>
      </c>
      <c r="F32" s="61">
        <v>1</v>
      </c>
      <c r="G32" s="76">
        <f t="shared" si="2"/>
        <v>3.8</v>
      </c>
      <c r="H32" s="84">
        <f>G32*C6</f>
        <v>3.7771999999999997</v>
      </c>
      <c r="I32" s="85">
        <f>[1]PARAMETROS!$D$11</f>
        <v>4998</v>
      </c>
      <c r="J32" s="63">
        <f t="shared" si="3"/>
        <v>18878.445599999999</v>
      </c>
      <c r="K32" s="86">
        <f>ROUNDUP(G32/D6,0)</f>
        <v>1</v>
      </c>
      <c r="L32" s="64" t="s">
        <v>456</v>
      </c>
    </row>
    <row r="33" spans="1:12" x14ac:dyDescent="0.35">
      <c r="A33" s="162" t="s">
        <v>482</v>
      </c>
      <c r="B33" s="162"/>
      <c r="C33" s="162"/>
      <c r="D33" s="162"/>
      <c r="E33" s="162"/>
      <c r="F33" s="162"/>
      <c r="G33" s="67"/>
      <c r="H33" s="94">
        <f>SUM(H27,H28,H29,H30,H31,H32)</f>
        <v>59.959600000000002</v>
      </c>
      <c r="I33" s="69"/>
      <c r="J33" s="68">
        <f>SUM(J27,J28,J29,J30,J31,J32)</f>
        <v>299678.0808</v>
      </c>
      <c r="K33" s="95">
        <f>SUM(K27,K28,K29,K30,K31,K32)</f>
        <v>10</v>
      </c>
      <c r="L33" s="69"/>
    </row>
    <row r="35" spans="1:12" x14ac:dyDescent="0.35">
      <c r="A35" s="165" t="s">
        <v>483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</row>
    <row r="36" spans="1:12" ht="23" x14ac:dyDescent="0.35">
      <c r="A36" s="48" t="s">
        <v>18</v>
      </c>
      <c r="B36" s="48" t="s">
        <v>418</v>
      </c>
      <c r="C36" s="48" t="s">
        <v>484</v>
      </c>
      <c r="D36" s="48" t="s">
        <v>485</v>
      </c>
      <c r="E36" s="48" t="s">
        <v>486</v>
      </c>
      <c r="F36" s="48" t="s">
        <v>449</v>
      </c>
      <c r="G36" s="48" t="s">
        <v>450</v>
      </c>
      <c r="H36" s="48" t="s">
        <v>451</v>
      </c>
      <c r="I36" s="48" t="s">
        <v>452</v>
      </c>
      <c r="J36" s="48" t="s">
        <v>453</v>
      </c>
      <c r="K36" s="48" t="s">
        <v>454</v>
      </c>
      <c r="L36" s="48" t="s">
        <v>337</v>
      </c>
    </row>
    <row r="37" spans="1:12" x14ac:dyDescent="0.35">
      <c r="A37" s="49">
        <v>1</v>
      </c>
      <c r="B37" s="50" t="s">
        <v>487</v>
      </c>
      <c r="C37" s="71">
        <v>1.7</v>
      </c>
      <c r="D37" s="52">
        <v>11</v>
      </c>
      <c r="E37" s="51">
        <v>0.1</v>
      </c>
      <c r="F37" s="52">
        <v>2</v>
      </c>
      <c r="G37" s="74">
        <f t="shared" ref="G37:G42" si="4">C37*D37*F37</f>
        <v>37.4</v>
      </c>
      <c r="H37" s="91">
        <f>G37*C5</f>
        <v>20.944000000000003</v>
      </c>
      <c r="I37" s="85">
        <f>[1]PARAMETROS!$D$11</f>
        <v>4998</v>
      </c>
      <c r="J37" s="55">
        <f t="shared" ref="J37:J42" si="5">H37*I37</f>
        <v>104678.11200000001</v>
      </c>
      <c r="K37" s="93">
        <f>ROUNDUP(G37/D5,0)</f>
        <v>7</v>
      </c>
      <c r="L37" s="56" t="s">
        <v>488</v>
      </c>
    </row>
    <row r="38" spans="1:12" x14ac:dyDescent="0.35">
      <c r="A38" s="58">
        <v>2</v>
      </c>
      <c r="B38" s="59" t="s">
        <v>489</v>
      </c>
      <c r="C38" s="71">
        <v>1.7</v>
      </c>
      <c r="D38" s="61">
        <v>9</v>
      </c>
      <c r="E38" s="60">
        <v>0.1</v>
      </c>
      <c r="F38" s="61">
        <v>2</v>
      </c>
      <c r="G38" s="76">
        <f t="shared" si="4"/>
        <v>30.599999999999998</v>
      </c>
      <c r="H38" s="84">
        <f>G38*C5</f>
        <v>17.135999999999999</v>
      </c>
      <c r="I38" s="85">
        <f>[1]PARAMETROS!$D$11</f>
        <v>4998</v>
      </c>
      <c r="J38" s="63">
        <f t="shared" si="5"/>
        <v>85645.728000000003</v>
      </c>
      <c r="K38" s="86">
        <f>ROUNDUP(G38/D5,0)</f>
        <v>6</v>
      </c>
      <c r="L38" s="64" t="s">
        <v>488</v>
      </c>
    </row>
    <row r="39" spans="1:12" x14ac:dyDescent="0.35">
      <c r="A39" s="49">
        <v>3</v>
      </c>
      <c r="B39" s="50" t="s">
        <v>490</v>
      </c>
      <c r="C39" s="71">
        <v>1.78</v>
      </c>
      <c r="D39" s="52">
        <v>7</v>
      </c>
      <c r="E39" s="51">
        <v>0.1</v>
      </c>
      <c r="F39" s="52">
        <v>1</v>
      </c>
      <c r="G39" s="74">
        <f t="shared" si="4"/>
        <v>12.46</v>
      </c>
      <c r="H39" s="91">
        <f>G39*C5</f>
        <v>6.9776000000000016</v>
      </c>
      <c r="I39" s="85">
        <f>[1]PARAMETROS!$D$11</f>
        <v>4998</v>
      </c>
      <c r="J39" s="55">
        <f t="shared" si="5"/>
        <v>34874.044800000011</v>
      </c>
      <c r="K39" s="93">
        <f>ROUNDUP(G39/D5,0)</f>
        <v>3</v>
      </c>
      <c r="L39" s="56" t="s">
        <v>488</v>
      </c>
    </row>
    <row r="40" spans="1:12" x14ac:dyDescent="0.35">
      <c r="A40" s="58">
        <v>4</v>
      </c>
      <c r="B40" s="59" t="s">
        <v>491</v>
      </c>
      <c r="C40" s="71">
        <v>1.78</v>
      </c>
      <c r="D40" s="61">
        <v>14</v>
      </c>
      <c r="E40" s="60">
        <v>0.1</v>
      </c>
      <c r="F40" s="61">
        <v>1</v>
      </c>
      <c r="G40" s="76">
        <f t="shared" si="4"/>
        <v>24.92</v>
      </c>
      <c r="H40" s="84">
        <f>G40*C5</f>
        <v>13.955200000000003</v>
      </c>
      <c r="I40" s="85">
        <f>[1]PARAMETROS!$D$11</f>
        <v>4998</v>
      </c>
      <c r="J40" s="63">
        <f t="shared" si="5"/>
        <v>69748.089600000021</v>
      </c>
      <c r="K40" s="86">
        <f>ROUNDUP(G40/D5,0)</f>
        <v>5</v>
      </c>
      <c r="L40" s="64" t="s">
        <v>488</v>
      </c>
    </row>
    <row r="41" spans="1:12" x14ac:dyDescent="0.35">
      <c r="A41" s="49">
        <v>5</v>
      </c>
      <c r="B41" s="50" t="s">
        <v>492</v>
      </c>
      <c r="C41" s="71">
        <v>1.7</v>
      </c>
      <c r="D41" s="52">
        <v>14</v>
      </c>
      <c r="E41" s="51">
        <v>0.1</v>
      </c>
      <c r="F41" s="52">
        <v>1</v>
      </c>
      <c r="G41" s="74">
        <f t="shared" si="4"/>
        <v>23.8</v>
      </c>
      <c r="H41" s="91">
        <f>G41*C5</f>
        <v>13.328000000000001</v>
      </c>
      <c r="I41" s="85">
        <f>[1]PARAMETROS!$D$11</f>
        <v>4998</v>
      </c>
      <c r="J41" s="55">
        <f t="shared" si="5"/>
        <v>66613.344000000012</v>
      </c>
      <c r="K41" s="93">
        <f>ROUNDUP(G41/D5,0)</f>
        <v>4</v>
      </c>
      <c r="L41" s="56" t="s">
        <v>488</v>
      </c>
    </row>
    <row r="42" spans="1:12" x14ac:dyDescent="0.35">
      <c r="A42" s="58">
        <v>6</v>
      </c>
      <c r="B42" s="59" t="s">
        <v>493</v>
      </c>
      <c r="C42" s="71">
        <v>1.4</v>
      </c>
      <c r="D42" s="61">
        <v>7</v>
      </c>
      <c r="E42" s="60">
        <v>0.1</v>
      </c>
      <c r="F42" s="61">
        <v>1</v>
      </c>
      <c r="G42" s="76">
        <f t="shared" si="4"/>
        <v>9.7999999999999989</v>
      </c>
      <c r="H42" s="84">
        <f>G42*C5</f>
        <v>5.4879999999999995</v>
      </c>
      <c r="I42" s="85">
        <f>[1]PARAMETROS!$D$11</f>
        <v>4998</v>
      </c>
      <c r="J42" s="63">
        <f t="shared" si="5"/>
        <v>27429.023999999998</v>
      </c>
      <c r="K42" s="86">
        <f>ROUNDUP(G42/D5,0)</f>
        <v>2</v>
      </c>
      <c r="L42" s="64" t="s">
        <v>488</v>
      </c>
    </row>
    <row r="43" spans="1:12" x14ac:dyDescent="0.35">
      <c r="A43" s="162" t="s">
        <v>494</v>
      </c>
      <c r="B43" s="162"/>
      <c r="C43" s="162"/>
      <c r="D43" s="162"/>
      <c r="E43" s="162"/>
      <c r="F43" s="162"/>
      <c r="G43" s="67"/>
      <c r="H43" s="94">
        <f>SUM(H37,H38,H39,H40,H41,H42)</f>
        <v>77.828800000000001</v>
      </c>
      <c r="I43" s="69"/>
      <c r="J43" s="68">
        <f>SUM(J37,J38,J39,J40,J41,J42)</f>
        <v>388988.34240000008</v>
      </c>
      <c r="K43" s="95">
        <f>SUM(K37,K38,K39,K40,K41,K42)</f>
        <v>27</v>
      </c>
      <c r="L43" s="69"/>
    </row>
    <row r="45" spans="1:12" x14ac:dyDescent="0.35">
      <c r="A45" s="165" t="s">
        <v>495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</row>
    <row r="46" spans="1:12" ht="34.5" x14ac:dyDescent="0.35">
      <c r="A46" s="48" t="s">
        <v>220</v>
      </c>
      <c r="B46" s="48" t="s">
        <v>496</v>
      </c>
      <c r="C46" s="48" t="s">
        <v>497</v>
      </c>
      <c r="D46" s="48" t="s">
        <v>498</v>
      </c>
      <c r="E46" s="48" t="s">
        <v>499</v>
      </c>
      <c r="F46" s="48" t="s">
        <v>500</v>
      </c>
      <c r="G46" s="48" t="s">
        <v>501</v>
      </c>
      <c r="H46" s="48" t="s">
        <v>502</v>
      </c>
      <c r="I46" s="48"/>
      <c r="J46" s="48"/>
      <c r="K46" s="48"/>
      <c r="L46" s="48"/>
    </row>
    <row r="47" spans="1:12" x14ac:dyDescent="0.35">
      <c r="A47" s="88" t="s">
        <v>503</v>
      </c>
      <c r="B47" s="96">
        <f>H23+H33+H43</f>
        <v>239.83244000000002</v>
      </c>
      <c r="C47" s="97">
        <v>0.05</v>
      </c>
      <c r="D47" s="91">
        <f>B47*C47</f>
        <v>11.991622000000001</v>
      </c>
      <c r="E47" s="93">
        <f>ROUNDUP(D47/25,0)</f>
        <v>1</v>
      </c>
      <c r="F47" s="93">
        <f>E47</f>
        <v>1</v>
      </c>
      <c r="G47" s="54">
        <v>38000</v>
      </c>
      <c r="H47" s="55">
        <f>F47*G47</f>
        <v>38000</v>
      </c>
      <c r="I47" s="75"/>
      <c r="J47" s="75"/>
      <c r="K47" s="75"/>
      <c r="L47" s="75"/>
    </row>
    <row r="49" spans="1:12" ht="15" thickBot="1" x14ac:dyDescent="0.4">
      <c r="A49" s="166" t="s">
        <v>504</v>
      </c>
      <c r="B49" s="166"/>
      <c r="C49" s="166"/>
      <c r="D49" s="166"/>
      <c r="E49" s="166"/>
      <c r="F49" s="166"/>
      <c r="G49" s="166"/>
      <c r="H49" s="166"/>
      <c r="I49" s="166"/>
      <c r="J49" s="78">
        <f>+H23+H33+H43</f>
        <v>239.83244000000002</v>
      </c>
      <c r="K49" s="79"/>
      <c r="L49" s="79"/>
    </row>
    <row r="51" spans="1:12" ht="15" thickBot="1" x14ac:dyDescent="0.4"/>
    <row r="52" spans="1:12" ht="15" thickBot="1" x14ac:dyDescent="0.4">
      <c r="A52" s="166" t="s">
        <v>505</v>
      </c>
      <c r="B52" s="166"/>
      <c r="C52" s="166"/>
      <c r="D52" s="166"/>
      <c r="E52" s="166"/>
      <c r="F52" s="166"/>
      <c r="G52" s="166"/>
      <c r="H52" s="166"/>
      <c r="I52" s="166"/>
      <c r="J52" s="78">
        <v>2000</v>
      </c>
      <c r="K52" s="79"/>
      <c r="L52" s="78">
        <f>+J52*J49</f>
        <v>479664.88000000006</v>
      </c>
    </row>
  </sheetData>
  <mergeCells count="12">
    <mergeCell ref="A52:I52"/>
    <mergeCell ref="A1:L1"/>
    <mergeCell ref="A2:L2"/>
    <mergeCell ref="A3:L3"/>
    <mergeCell ref="A9:L9"/>
    <mergeCell ref="A23:F23"/>
    <mergeCell ref="A25:L25"/>
    <mergeCell ref="A33:F33"/>
    <mergeCell ref="A35:L35"/>
    <mergeCell ref="A43:F43"/>
    <mergeCell ref="A45:L45"/>
    <mergeCell ref="A49:I4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FA5B-A44C-4369-9A2D-57125376F8A1}">
  <dimension ref="A1:N65"/>
  <sheetViews>
    <sheetView topLeftCell="A28" workbookViewId="0">
      <selection sqref="A1:L1"/>
    </sheetView>
  </sheetViews>
  <sheetFormatPr baseColWidth="10" defaultColWidth="8.7265625" defaultRowHeight="14.5" x14ac:dyDescent="0.35"/>
  <cols>
    <col min="1" max="1" width="4" customWidth="1"/>
    <col min="2" max="2" width="32" customWidth="1"/>
    <col min="3" max="3" width="14" customWidth="1"/>
    <col min="4" max="6" width="10" customWidth="1"/>
    <col min="7" max="9" width="12" customWidth="1"/>
    <col min="10" max="10" width="14" customWidth="1"/>
    <col min="11" max="11" width="12" customWidth="1"/>
    <col min="12" max="12" width="12.453125" bestFit="1" customWidth="1"/>
  </cols>
  <sheetData>
    <row r="1" spans="1:14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4" x14ac:dyDescent="0.35">
      <c r="A2" s="164" t="s">
        <v>506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4" x14ac:dyDescent="0.35">
      <c r="A3" s="165" t="s">
        <v>507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4" ht="23" x14ac:dyDescent="0.35">
      <c r="A4" s="48" t="s">
        <v>18</v>
      </c>
      <c r="B4" s="48" t="s">
        <v>48</v>
      </c>
      <c r="C4" s="48" t="s">
        <v>332</v>
      </c>
      <c r="D4" s="48" t="s">
        <v>508</v>
      </c>
      <c r="E4" s="48" t="s">
        <v>509</v>
      </c>
      <c r="F4" s="48" t="s">
        <v>510</v>
      </c>
      <c r="G4" s="48" t="s">
        <v>511</v>
      </c>
      <c r="H4" s="48" t="s">
        <v>512</v>
      </c>
      <c r="I4" s="48" t="s">
        <v>513</v>
      </c>
      <c r="J4" s="48" t="s">
        <v>514</v>
      </c>
      <c r="K4" s="48" t="s">
        <v>515</v>
      </c>
      <c r="L4" s="48" t="s">
        <v>336</v>
      </c>
    </row>
    <row r="5" spans="1:14" ht="23" x14ac:dyDescent="0.35">
      <c r="A5" s="49">
        <v>1</v>
      </c>
      <c r="B5" s="50" t="s">
        <v>516</v>
      </c>
      <c r="C5" s="52">
        <v>1</v>
      </c>
      <c r="D5" s="51">
        <v>3.73</v>
      </c>
      <c r="E5" s="89">
        <v>30.6</v>
      </c>
      <c r="F5" s="74">
        <f>C5*D5</f>
        <v>3.73</v>
      </c>
      <c r="G5" s="91">
        <f>F5*E5</f>
        <v>114.13800000000001</v>
      </c>
      <c r="H5" s="93">
        <f>ROUNDUP(F5/6,0)</f>
        <v>1</v>
      </c>
      <c r="I5" s="98">
        <v>1.2</v>
      </c>
      <c r="J5" s="91">
        <f>+G5*I5</f>
        <v>136.96559999999999</v>
      </c>
      <c r="K5" s="92">
        <f>[1]PARAMETROS!$D$5</f>
        <v>7800</v>
      </c>
      <c r="L5" s="55">
        <f>J5*K5</f>
        <v>1068331.68</v>
      </c>
    </row>
    <row r="6" spans="1:14" ht="23" x14ac:dyDescent="0.35">
      <c r="A6" s="58">
        <v>2</v>
      </c>
      <c r="B6" s="59" t="s">
        <v>517</v>
      </c>
      <c r="C6" s="61">
        <v>1</v>
      </c>
      <c r="D6" s="60">
        <v>3.73</v>
      </c>
      <c r="E6" s="89">
        <v>30.6</v>
      </c>
      <c r="F6" s="76">
        <f>C6*D6</f>
        <v>3.73</v>
      </c>
      <c r="G6" s="84">
        <f>F6*E6</f>
        <v>114.13800000000001</v>
      </c>
      <c r="H6" s="86">
        <f>ROUNDUP(F6/6,0)</f>
        <v>1</v>
      </c>
      <c r="I6" s="98">
        <v>1.2</v>
      </c>
      <c r="J6" s="91">
        <f>+G6*I6</f>
        <v>136.96559999999999</v>
      </c>
      <c r="K6" s="92">
        <f>[1]PARAMETROS!$D$5</f>
        <v>7800</v>
      </c>
      <c r="L6" s="63">
        <f>J6*K6</f>
        <v>1068331.68</v>
      </c>
    </row>
    <row r="7" spans="1:14" ht="23" x14ac:dyDescent="0.35">
      <c r="A7" s="49">
        <v>3</v>
      </c>
      <c r="B7" s="50" t="s">
        <v>518</v>
      </c>
      <c r="C7" s="52">
        <v>1</v>
      </c>
      <c r="D7" s="51">
        <v>3.73</v>
      </c>
      <c r="E7" s="89">
        <v>30.6</v>
      </c>
      <c r="F7" s="74">
        <f>C7*D7</f>
        <v>3.73</v>
      </c>
      <c r="G7" s="91">
        <f>F7*E7</f>
        <v>114.13800000000001</v>
      </c>
      <c r="H7" s="93">
        <f>ROUNDUP(F7/6,0)</f>
        <v>1</v>
      </c>
      <c r="I7" s="98">
        <v>1.2</v>
      </c>
      <c r="J7" s="91">
        <f>+G7*I7</f>
        <v>136.96559999999999</v>
      </c>
      <c r="K7" s="92">
        <f>[1]PARAMETROS!$D$5</f>
        <v>7800</v>
      </c>
      <c r="L7" s="55">
        <f>J7*K7</f>
        <v>1068331.68</v>
      </c>
    </row>
    <row r="8" spans="1:14" ht="23" x14ac:dyDescent="0.35">
      <c r="A8" s="58">
        <v>4</v>
      </c>
      <c r="B8" s="59" t="s">
        <v>519</v>
      </c>
      <c r="C8" s="61">
        <v>1</v>
      </c>
      <c r="D8" s="60">
        <v>3.73</v>
      </c>
      <c r="E8" s="89">
        <v>30.6</v>
      </c>
      <c r="F8" s="76">
        <f>C8*D8</f>
        <v>3.73</v>
      </c>
      <c r="G8" s="84">
        <f>F8*E8</f>
        <v>114.13800000000001</v>
      </c>
      <c r="H8" s="86">
        <f>ROUNDUP(F8/6,0)</f>
        <v>1</v>
      </c>
      <c r="I8" s="98">
        <v>1.2</v>
      </c>
      <c r="J8" s="91">
        <f>+G8*I8</f>
        <v>136.96559999999999</v>
      </c>
      <c r="K8" s="92">
        <f>[1]PARAMETROS!$D$5</f>
        <v>7800</v>
      </c>
      <c r="L8" s="63">
        <f>J8*K8</f>
        <v>1068331.68</v>
      </c>
    </row>
    <row r="9" spans="1:14" x14ac:dyDescent="0.35">
      <c r="A9" s="162" t="s">
        <v>520</v>
      </c>
      <c r="B9" s="162"/>
      <c r="C9" s="162"/>
      <c r="D9" s="162"/>
      <c r="E9" s="162"/>
      <c r="F9" s="99">
        <f>+SUM(F5:F8)</f>
        <v>14.92</v>
      </c>
      <c r="G9" s="94">
        <f>SUM(G5,G6,G7,G8)</f>
        <v>456.55200000000002</v>
      </c>
      <c r="H9" s="69"/>
      <c r="I9" s="95"/>
      <c r="J9" s="94">
        <f>SUM(J5,J6,J7,J8)</f>
        <v>547.86239999999998</v>
      </c>
      <c r="K9" s="69"/>
      <c r="L9" s="68">
        <f>+SUM(L5:L8)</f>
        <v>4273326.72</v>
      </c>
    </row>
    <row r="11" spans="1:14" x14ac:dyDescent="0.35">
      <c r="A11" s="165" t="s">
        <v>521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</row>
    <row r="12" spans="1:14" ht="23" x14ac:dyDescent="0.35">
      <c r="A12" s="48" t="s">
        <v>18</v>
      </c>
      <c r="B12" s="48" t="s">
        <v>48</v>
      </c>
      <c r="C12" s="48" t="s">
        <v>332</v>
      </c>
      <c r="D12" s="48" t="s">
        <v>508</v>
      </c>
      <c r="E12" s="48" t="s">
        <v>509</v>
      </c>
      <c r="F12" s="48" t="s">
        <v>510</v>
      </c>
      <c r="G12" s="48" t="s">
        <v>511</v>
      </c>
      <c r="H12" s="48" t="s">
        <v>512</v>
      </c>
      <c r="I12" s="48" t="s">
        <v>513</v>
      </c>
      <c r="J12" s="48" t="s">
        <v>514</v>
      </c>
      <c r="K12" s="48" t="s">
        <v>515</v>
      </c>
      <c r="L12" s="48" t="s">
        <v>336</v>
      </c>
    </row>
    <row r="13" spans="1:14" ht="23" x14ac:dyDescent="0.35">
      <c r="A13" s="49">
        <v>1</v>
      </c>
      <c r="B13" s="50" t="s">
        <v>522</v>
      </c>
      <c r="C13" s="52">
        <v>1</v>
      </c>
      <c r="D13" s="51">
        <v>3.9</v>
      </c>
      <c r="E13" s="89">
        <v>46.8</v>
      </c>
      <c r="F13" s="74">
        <v>3.73</v>
      </c>
      <c r="G13" s="91">
        <f>F13*E13</f>
        <v>174.56399999999999</v>
      </c>
      <c r="H13" s="93">
        <f>ROUNDUP(F13/6,0)</f>
        <v>1</v>
      </c>
      <c r="I13" s="53">
        <v>1.609</v>
      </c>
      <c r="J13" s="91">
        <f>+I13*G13</f>
        <v>280.87347599999998</v>
      </c>
      <c r="K13" s="92">
        <f>[1]PARAMETROS!$D$5</f>
        <v>7800</v>
      </c>
      <c r="L13" s="55">
        <f>J13*K13</f>
        <v>2190813.1127999998</v>
      </c>
    </row>
    <row r="14" spans="1:14" ht="23" x14ac:dyDescent="0.35">
      <c r="A14" s="58">
        <v>2</v>
      </c>
      <c r="B14" s="59" t="s">
        <v>523</v>
      </c>
      <c r="C14" s="61">
        <v>1</v>
      </c>
      <c r="D14" s="60">
        <v>3.9</v>
      </c>
      <c r="E14" s="89">
        <v>46.8</v>
      </c>
      <c r="F14" s="76">
        <v>3.73</v>
      </c>
      <c r="G14" s="84">
        <f>F14*E14</f>
        <v>174.56399999999999</v>
      </c>
      <c r="H14" s="86">
        <f>ROUNDUP(F14/6,0)</f>
        <v>1</v>
      </c>
      <c r="I14" s="53">
        <f>+I13</f>
        <v>1.609</v>
      </c>
      <c r="J14" s="91">
        <f>+I14*G14</f>
        <v>280.87347599999998</v>
      </c>
      <c r="K14" s="92">
        <f>[1]PARAMETROS!$D$5</f>
        <v>7800</v>
      </c>
      <c r="L14" s="63">
        <f>J14*K14</f>
        <v>2190813.1127999998</v>
      </c>
    </row>
    <row r="15" spans="1:14" x14ac:dyDescent="0.35">
      <c r="A15" s="162" t="s">
        <v>520</v>
      </c>
      <c r="B15" s="162"/>
      <c r="C15" s="162"/>
      <c r="D15" s="162"/>
      <c r="E15" s="162"/>
      <c r="F15" s="99">
        <f>+SUM(F13:F14)</f>
        <v>7.46</v>
      </c>
      <c r="G15" s="94">
        <f>SUM(G13,G14)</f>
        <v>349.12799999999999</v>
      </c>
      <c r="H15" s="69"/>
      <c r="I15" s="95"/>
      <c r="J15" s="94">
        <f>SUM(J13,J14)</f>
        <v>561.74695199999996</v>
      </c>
      <c r="K15" s="69"/>
      <c r="L15" s="68">
        <f>SUM(L13,L14)</f>
        <v>4381626.2255999995</v>
      </c>
      <c r="N15" s="100"/>
    </row>
    <row r="17" spans="1:12" x14ac:dyDescent="0.35">
      <c r="A17" s="165" t="s">
        <v>524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 ht="23" x14ac:dyDescent="0.35">
      <c r="A18" s="48" t="s">
        <v>18</v>
      </c>
      <c r="B18" s="48" t="s">
        <v>48</v>
      </c>
      <c r="C18" s="48" t="s">
        <v>332</v>
      </c>
      <c r="D18" s="48" t="s">
        <v>508</v>
      </c>
      <c r="E18" s="48" t="s">
        <v>509</v>
      </c>
      <c r="F18" s="48" t="s">
        <v>510</v>
      </c>
      <c r="G18" s="48" t="s">
        <v>511</v>
      </c>
      <c r="H18" s="48" t="s">
        <v>525</v>
      </c>
      <c r="I18" s="48" t="s">
        <v>513</v>
      </c>
      <c r="J18" s="48" t="s">
        <v>514</v>
      </c>
      <c r="K18" s="48" t="s">
        <v>515</v>
      </c>
      <c r="L18" s="48" t="s">
        <v>336</v>
      </c>
    </row>
    <row r="19" spans="1:12" ht="23" x14ac:dyDescent="0.35">
      <c r="A19" s="49">
        <v>1</v>
      </c>
      <c r="B19" s="50" t="s">
        <v>526</v>
      </c>
      <c r="C19" s="52">
        <v>2</v>
      </c>
      <c r="D19" s="51">
        <v>5.7</v>
      </c>
      <c r="E19" s="89">
        <v>36.1</v>
      </c>
      <c r="F19" s="74">
        <f t="shared" ref="F19:F24" si="0">C19*D19</f>
        <v>11.4</v>
      </c>
      <c r="G19" s="91">
        <f t="shared" ref="G19:G24" si="1">F19*E19</f>
        <v>411.54</v>
      </c>
      <c r="H19" s="93">
        <f>ROUNDUP(F19/12,0)</f>
        <v>1</v>
      </c>
      <c r="I19" s="74">
        <v>1</v>
      </c>
      <c r="J19" s="91">
        <f t="shared" ref="J19:J24" si="2">+G19*I19</f>
        <v>411.54</v>
      </c>
      <c r="K19" s="92">
        <f>[1]PARAMETROS!$D$5</f>
        <v>7800</v>
      </c>
      <c r="L19" s="55">
        <f t="shared" ref="L19:L24" si="3">J19*K19</f>
        <v>3210012</v>
      </c>
    </row>
    <row r="20" spans="1:12" ht="23" x14ac:dyDescent="0.35">
      <c r="A20" s="58">
        <v>2</v>
      </c>
      <c r="B20" s="50" t="s">
        <v>527</v>
      </c>
      <c r="C20" s="61">
        <v>1</v>
      </c>
      <c r="D20" s="60">
        <v>1.5</v>
      </c>
      <c r="E20" s="89">
        <v>36.1</v>
      </c>
      <c r="F20" s="76">
        <f t="shared" si="0"/>
        <v>1.5</v>
      </c>
      <c r="G20" s="84">
        <f t="shared" si="1"/>
        <v>54.150000000000006</v>
      </c>
      <c r="H20" s="86">
        <f>ROUNDUP(F20/12,0)</f>
        <v>1</v>
      </c>
      <c r="I20" s="74">
        <v>1</v>
      </c>
      <c r="J20" s="91">
        <f t="shared" si="2"/>
        <v>54.150000000000006</v>
      </c>
      <c r="K20" s="92">
        <f>[1]PARAMETROS!$D$5</f>
        <v>7800</v>
      </c>
      <c r="L20" s="63">
        <f t="shared" si="3"/>
        <v>422370.00000000006</v>
      </c>
    </row>
    <row r="21" spans="1:12" ht="23" x14ac:dyDescent="0.35">
      <c r="A21" s="49">
        <v>3</v>
      </c>
      <c r="B21" s="50" t="s">
        <v>528</v>
      </c>
      <c r="C21" s="52">
        <v>2</v>
      </c>
      <c r="D21" s="51">
        <v>5.32</v>
      </c>
      <c r="E21" s="89">
        <v>36.1</v>
      </c>
      <c r="F21" s="74">
        <f t="shared" si="0"/>
        <v>10.64</v>
      </c>
      <c r="G21" s="91">
        <f t="shared" si="1"/>
        <v>384.10400000000004</v>
      </c>
      <c r="H21" s="93">
        <f>ROUNDUP(F21/12,0)</f>
        <v>1</v>
      </c>
      <c r="I21" s="74">
        <v>1</v>
      </c>
      <c r="J21" s="91">
        <f t="shared" si="2"/>
        <v>384.10400000000004</v>
      </c>
      <c r="K21" s="92">
        <f>[1]PARAMETROS!$D$5</f>
        <v>7800</v>
      </c>
      <c r="L21" s="55">
        <f t="shared" si="3"/>
        <v>2996011.2</v>
      </c>
    </row>
    <row r="22" spans="1:12" ht="23" x14ac:dyDescent="0.35">
      <c r="A22" s="58">
        <v>4</v>
      </c>
      <c r="B22" s="50" t="s">
        <v>529</v>
      </c>
      <c r="C22" s="61">
        <v>2</v>
      </c>
      <c r="D22" s="60">
        <v>6.87</v>
      </c>
      <c r="E22" s="89">
        <v>36.1</v>
      </c>
      <c r="F22" s="76">
        <f t="shared" si="0"/>
        <v>13.74</v>
      </c>
      <c r="G22" s="84">
        <f t="shared" si="1"/>
        <v>496.01400000000001</v>
      </c>
      <c r="H22" s="86">
        <v>1</v>
      </c>
      <c r="I22" s="74">
        <v>1</v>
      </c>
      <c r="J22" s="91">
        <f t="shared" si="2"/>
        <v>496.01400000000001</v>
      </c>
      <c r="K22" s="92">
        <f>[1]PARAMETROS!$D$5</f>
        <v>7800</v>
      </c>
      <c r="L22" s="63">
        <f t="shared" si="3"/>
        <v>3868909.2</v>
      </c>
    </row>
    <row r="23" spans="1:12" ht="23" x14ac:dyDescent="0.35">
      <c r="A23" s="58">
        <v>5</v>
      </c>
      <c r="B23" s="50" t="s">
        <v>530</v>
      </c>
      <c r="C23" s="61">
        <v>1</v>
      </c>
      <c r="D23" s="60">
        <v>5.32</v>
      </c>
      <c r="E23" s="89">
        <v>36.1</v>
      </c>
      <c r="F23" s="76">
        <f t="shared" si="0"/>
        <v>5.32</v>
      </c>
      <c r="G23" s="84">
        <f t="shared" si="1"/>
        <v>192.05200000000002</v>
      </c>
      <c r="H23" s="86">
        <v>1</v>
      </c>
      <c r="I23" s="74">
        <v>1</v>
      </c>
      <c r="J23" s="91">
        <f t="shared" si="2"/>
        <v>192.05200000000002</v>
      </c>
      <c r="K23" s="92">
        <f>[1]PARAMETROS!$D$5</f>
        <v>7800</v>
      </c>
      <c r="L23" s="63">
        <f t="shared" si="3"/>
        <v>1498005.6</v>
      </c>
    </row>
    <row r="24" spans="1:12" ht="23" x14ac:dyDescent="0.35">
      <c r="A24" s="58">
        <v>6</v>
      </c>
      <c r="B24" s="50" t="s">
        <v>530</v>
      </c>
      <c r="C24" s="61">
        <v>1</v>
      </c>
      <c r="D24" s="60">
        <f>6.87-1.5</f>
        <v>5.37</v>
      </c>
      <c r="E24" s="89">
        <v>36.1</v>
      </c>
      <c r="F24" s="76">
        <f t="shared" si="0"/>
        <v>5.37</v>
      </c>
      <c r="G24" s="84">
        <f t="shared" si="1"/>
        <v>193.857</v>
      </c>
      <c r="H24" s="86">
        <v>1</v>
      </c>
      <c r="I24" s="74">
        <v>1</v>
      </c>
      <c r="J24" s="91">
        <f t="shared" si="2"/>
        <v>193.857</v>
      </c>
      <c r="K24" s="92">
        <f>[1]PARAMETROS!$D$5</f>
        <v>7800</v>
      </c>
      <c r="L24" s="63">
        <f t="shared" si="3"/>
        <v>1512084.6</v>
      </c>
    </row>
    <row r="25" spans="1:12" x14ac:dyDescent="0.35">
      <c r="A25" s="162" t="s">
        <v>520</v>
      </c>
      <c r="B25" s="162"/>
      <c r="C25" s="162"/>
      <c r="D25" s="162"/>
      <c r="E25" s="162"/>
      <c r="F25" s="99">
        <f>+SUM(F19:F24)</f>
        <v>47.97</v>
      </c>
      <c r="G25" s="94">
        <f>+SUM(G19:G24)</f>
        <v>1731.7170000000001</v>
      </c>
      <c r="H25" s="69"/>
      <c r="I25" s="95"/>
      <c r="J25" s="94">
        <f>+SUM(J19:J24)</f>
        <v>1731.7170000000001</v>
      </c>
      <c r="K25" s="69"/>
      <c r="L25" s="68">
        <f>+SUM(L19:L24)</f>
        <v>13507392.6</v>
      </c>
    </row>
    <row r="27" spans="1:12" x14ac:dyDescent="0.35">
      <c r="A27" s="165" t="s">
        <v>531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</row>
    <row r="28" spans="1:12" ht="23" x14ac:dyDescent="0.35">
      <c r="A28" s="48" t="s">
        <v>18</v>
      </c>
      <c r="B28" s="48" t="s">
        <v>48</v>
      </c>
      <c r="C28" s="48" t="s">
        <v>332</v>
      </c>
      <c r="D28" s="48" t="s">
        <v>508</v>
      </c>
      <c r="E28" s="48" t="s">
        <v>509</v>
      </c>
      <c r="F28" s="48" t="s">
        <v>510</v>
      </c>
      <c r="G28" s="48" t="s">
        <v>511</v>
      </c>
      <c r="H28" s="48" t="s">
        <v>525</v>
      </c>
      <c r="I28" s="48" t="s">
        <v>513</v>
      </c>
      <c r="J28" s="48" t="s">
        <v>514</v>
      </c>
      <c r="K28" s="48" t="s">
        <v>515</v>
      </c>
      <c r="L28" s="48" t="s">
        <v>336</v>
      </c>
    </row>
    <row r="29" spans="1:12" ht="23" x14ac:dyDescent="0.35">
      <c r="A29" s="49">
        <v>1</v>
      </c>
      <c r="B29" s="50" t="s">
        <v>532</v>
      </c>
      <c r="C29" s="52">
        <v>1</v>
      </c>
      <c r="D29" s="51">
        <v>5.7</v>
      </c>
      <c r="E29" s="89">
        <v>42.2</v>
      </c>
      <c r="F29" s="74">
        <f>C29*D29</f>
        <v>5.7</v>
      </c>
      <c r="G29" s="91">
        <f>F29*E29</f>
        <v>240.54000000000002</v>
      </c>
      <c r="H29" s="93">
        <f>ROUNDUP(F29/12,0)</f>
        <v>1</v>
      </c>
      <c r="I29" s="53">
        <v>1.0529999999999999</v>
      </c>
      <c r="J29" s="91">
        <f>+G29*I29</f>
        <v>253.28862000000001</v>
      </c>
      <c r="K29" s="92">
        <f>[1]PARAMETROS!$D$5</f>
        <v>7800</v>
      </c>
      <c r="L29" s="55">
        <f>J29*K29</f>
        <v>1975651.236</v>
      </c>
    </row>
    <row r="30" spans="1:12" x14ac:dyDescent="0.35">
      <c r="A30" s="162" t="s">
        <v>520</v>
      </c>
      <c r="B30" s="162"/>
      <c r="C30" s="162"/>
      <c r="D30" s="162"/>
      <c r="E30" s="162"/>
      <c r="F30" s="99">
        <f>+SUM(F29:F29)</f>
        <v>5.7</v>
      </c>
      <c r="G30" s="94">
        <f>+SUM(G29)</f>
        <v>240.54000000000002</v>
      </c>
      <c r="H30" s="69"/>
      <c r="I30" s="95"/>
      <c r="J30" s="94">
        <f>+SUM(J29)</f>
        <v>253.28862000000001</v>
      </c>
      <c r="K30" s="69"/>
      <c r="L30" s="68">
        <f>+SUM(L29)</f>
        <v>1975651.236</v>
      </c>
    </row>
    <row r="32" spans="1:12" x14ac:dyDescent="0.35">
      <c r="A32" s="165" t="s">
        <v>533</v>
      </c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</row>
    <row r="33" spans="1:14" ht="23" x14ac:dyDescent="0.35">
      <c r="A33" s="48" t="s">
        <v>18</v>
      </c>
      <c r="B33" s="48" t="s">
        <v>48</v>
      </c>
      <c r="C33" s="48" t="s">
        <v>332</v>
      </c>
      <c r="D33" s="48" t="s">
        <v>508</v>
      </c>
      <c r="E33" s="48" t="s">
        <v>509</v>
      </c>
      <c r="F33" s="48" t="s">
        <v>510</v>
      </c>
      <c r="G33" s="48" t="s">
        <v>511</v>
      </c>
      <c r="H33" s="48" t="s">
        <v>525</v>
      </c>
      <c r="I33" s="48" t="s">
        <v>513</v>
      </c>
      <c r="J33" s="48" t="s">
        <v>514</v>
      </c>
      <c r="K33" s="48" t="s">
        <v>515</v>
      </c>
      <c r="L33" s="48" t="s">
        <v>336</v>
      </c>
    </row>
    <row r="34" spans="1:14" x14ac:dyDescent="0.35">
      <c r="A34" s="49">
        <v>1</v>
      </c>
      <c r="B34" s="50" t="s">
        <v>534</v>
      </c>
      <c r="C34" s="52">
        <v>2</v>
      </c>
      <c r="D34" s="51">
        <v>5.7</v>
      </c>
      <c r="E34" s="89">
        <f>((5/8)*0.0254)*0.22*1*7860</f>
        <v>27.451049999999999</v>
      </c>
      <c r="F34" s="74">
        <f>C34*D34</f>
        <v>11.4</v>
      </c>
      <c r="G34" s="91">
        <f>F34*E34</f>
        <v>312.94196999999997</v>
      </c>
      <c r="H34" s="93">
        <f>ROUNDUP(F34/12,0)</f>
        <v>1</v>
      </c>
      <c r="I34" s="93">
        <v>1</v>
      </c>
      <c r="J34" s="91">
        <f>+I34*G34</f>
        <v>312.94196999999997</v>
      </c>
      <c r="K34" s="92">
        <f>+[1]PARAMETROS!D8</f>
        <v>8500</v>
      </c>
      <c r="L34" s="55">
        <f>J34*K34</f>
        <v>2660006.7449999996</v>
      </c>
    </row>
    <row r="35" spans="1:14" x14ac:dyDescent="0.35">
      <c r="A35" s="58">
        <v>2</v>
      </c>
      <c r="B35" s="50" t="s">
        <v>535</v>
      </c>
      <c r="C35" s="61">
        <v>1</v>
      </c>
      <c r="D35" s="60">
        <v>5.7</v>
      </c>
      <c r="E35" s="89">
        <f>((1/4)*0.0254)*0.2382*1*7860</f>
        <v>11.8888002</v>
      </c>
      <c r="F35" s="76">
        <f>C35*D35</f>
        <v>5.7</v>
      </c>
      <c r="G35" s="84">
        <f>F35*E35</f>
        <v>67.766161140000008</v>
      </c>
      <c r="H35" s="86">
        <f>ROUNDUP(F35/12,0)</f>
        <v>1</v>
      </c>
      <c r="I35" s="86">
        <f>MAX(C35,H35)</f>
        <v>1</v>
      </c>
      <c r="J35" s="91">
        <f>+I35*G35</f>
        <v>67.766161140000008</v>
      </c>
      <c r="K35" s="92">
        <f>+K34</f>
        <v>8500</v>
      </c>
      <c r="L35" s="63">
        <f>J35*K35</f>
        <v>576012.36969000008</v>
      </c>
    </row>
    <row r="36" spans="1:14" x14ac:dyDescent="0.35">
      <c r="A36" s="162" t="s">
        <v>520</v>
      </c>
      <c r="B36" s="162"/>
      <c r="C36" s="162"/>
      <c r="D36" s="162"/>
      <c r="E36" s="162"/>
      <c r="F36" s="67"/>
      <c r="G36" s="94">
        <f>+SUM(G34:G35)</f>
        <v>380.70813113999998</v>
      </c>
      <c r="H36" s="69"/>
      <c r="I36" s="95"/>
      <c r="J36" s="94">
        <f>+SUM(J34:J35)</f>
        <v>380.70813113999998</v>
      </c>
      <c r="K36" s="69"/>
      <c r="L36" s="68">
        <f>+SUM(L34:L35)</f>
        <v>3236019.1146899997</v>
      </c>
    </row>
    <row r="38" spans="1:14" x14ac:dyDescent="0.35">
      <c r="A38" s="165" t="s">
        <v>536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</row>
    <row r="39" spans="1:14" ht="23" x14ac:dyDescent="0.35">
      <c r="A39" s="48" t="s">
        <v>18</v>
      </c>
      <c r="B39" s="48" t="s">
        <v>48</v>
      </c>
      <c r="C39" s="48" t="s">
        <v>332</v>
      </c>
      <c r="D39" s="48" t="s">
        <v>508</v>
      </c>
      <c r="E39" s="48" t="s">
        <v>509</v>
      </c>
      <c r="F39" s="48" t="s">
        <v>510</v>
      </c>
      <c r="G39" s="48" t="s">
        <v>511</v>
      </c>
      <c r="H39" s="48" t="s">
        <v>512</v>
      </c>
      <c r="I39" s="48" t="s">
        <v>513</v>
      </c>
      <c r="J39" s="48" t="s">
        <v>514</v>
      </c>
      <c r="K39" s="48" t="s">
        <v>515</v>
      </c>
      <c r="L39" s="48" t="s">
        <v>336</v>
      </c>
    </row>
    <row r="40" spans="1:14" x14ac:dyDescent="0.35">
      <c r="A40" s="49">
        <v>1</v>
      </c>
      <c r="B40" s="50" t="s">
        <v>537</v>
      </c>
      <c r="C40" s="52">
        <v>1</v>
      </c>
      <c r="D40" s="51">
        <v>2</v>
      </c>
      <c r="E40" s="89">
        <v>14</v>
      </c>
      <c r="F40" s="74">
        <f>C40*D40</f>
        <v>2</v>
      </c>
      <c r="G40" s="91">
        <f>F40*E40</f>
        <v>28</v>
      </c>
      <c r="H40" s="93">
        <f>ROUNDUP(F40/6,0)</f>
        <v>1</v>
      </c>
      <c r="I40" s="93">
        <f>MAX(C40,H40)</f>
        <v>1</v>
      </c>
      <c r="J40" s="91">
        <f>+I40*G40</f>
        <v>28</v>
      </c>
      <c r="K40" s="92">
        <f>[1]PARAMETROS!$D$8</f>
        <v>8500</v>
      </c>
      <c r="L40" s="55">
        <f>J40*K40</f>
        <v>238000</v>
      </c>
      <c r="N40">
        <f>42.15/6</f>
        <v>7.0249999999999995</v>
      </c>
    </row>
    <row r="41" spans="1:14" x14ac:dyDescent="0.35">
      <c r="A41" s="58">
        <v>2</v>
      </c>
      <c r="B41" s="59" t="s">
        <v>538</v>
      </c>
      <c r="C41" s="61">
        <v>1</v>
      </c>
      <c r="D41" s="60">
        <v>6.7</v>
      </c>
      <c r="E41" s="89">
        <f>+E40</f>
        <v>14</v>
      </c>
      <c r="F41" s="76">
        <f>C41*D41</f>
        <v>6.7</v>
      </c>
      <c r="G41" s="84">
        <f>F41*E41</f>
        <v>93.8</v>
      </c>
      <c r="H41" s="86">
        <v>1</v>
      </c>
      <c r="I41" s="86">
        <f>MAX(C41,H41)</f>
        <v>1</v>
      </c>
      <c r="J41" s="91">
        <f>+I41*G41</f>
        <v>93.8</v>
      </c>
      <c r="K41" s="92">
        <f>[1]PARAMETROS!$D$8</f>
        <v>8500</v>
      </c>
      <c r="L41" s="63">
        <f>J41*K41</f>
        <v>797300</v>
      </c>
    </row>
    <row r="42" spans="1:14" x14ac:dyDescent="0.35">
      <c r="A42" s="49">
        <v>3</v>
      </c>
      <c r="B42" s="50" t="s">
        <v>539</v>
      </c>
      <c r="C42" s="52">
        <v>1</v>
      </c>
      <c r="D42" s="51">
        <v>2</v>
      </c>
      <c r="E42" s="89">
        <f>+E40</f>
        <v>14</v>
      </c>
      <c r="F42" s="74">
        <f>C42*D42</f>
        <v>2</v>
      </c>
      <c r="G42" s="91">
        <f>F42*E42</f>
        <v>28</v>
      </c>
      <c r="H42" s="93">
        <f>ROUNDUP(F42/6,0)</f>
        <v>1</v>
      </c>
      <c r="I42" s="93">
        <f>MAX(C42,H42)</f>
        <v>1</v>
      </c>
      <c r="J42" s="91">
        <f>+I42*G42</f>
        <v>28</v>
      </c>
      <c r="K42" s="92">
        <f>[1]PARAMETROS!$D$8</f>
        <v>8500</v>
      </c>
      <c r="L42" s="55">
        <f>J42*K42</f>
        <v>238000</v>
      </c>
    </row>
    <row r="43" spans="1:14" x14ac:dyDescent="0.35">
      <c r="A43" s="49">
        <v>3</v>
      </c>
      <c r="B43" s="50" t="s">
        <v>539</v>
      </c>
      <c r="C43" s="52">
        <v>1</v>
      </c>
      <c r="D43" s="51">
        <v>1.35</v>
      </c>
      <c r="E43" s="89">
        <f>+E41</f>
        <v>14</v>
      </c>
      <c r="F43" s="74">
        <f>C43*D43</f>
        <v>1.35</v>
      </c>
      <c r="G43" s="91">
        <f>F43*E43</f>
        <v>18.900000000000002</v>
      </c>
      <c r="H43" s="93">
        <f>ROUNDUP(F43/6,0)</f>
        <v>1</v>
      </c>
      <c r="I43" s="93">
        <f>MAX(C43,H43)</f>
        <v>1</v>
      </c>
      <c r="J43" s="91">
        <f>+I43*G43</f>
        <v>18.900000000000002</v>
      </c>
      <c r="K43" s="92">
        <f>[1]PARAMETROS!$D$8</f>
        <v>8500</v>
      </c>
      <c r="L43" s="55">
        <f>J43*K43</f>
        <v>160650.00000000003</v>
      </c>
    </row>
    <row r="44" spans="1:14" x14ac:dyDescent="0.35">
      <c r="A44" s="162" t="s">
        <v>520</v>
      </c>
      <c r="B44" s="162"/>
      <c r="C44" s="162"/>
      <c r="D44" s="162"/>
      <c r="E44" s="162"/>
      <c r="F44" s="67"/>
      <c r="G44" s="94">
        <f>+SUM(G40:G43)</f>
        <v>168.70000000000002</v>
      </c>
      <c r="H44" s="69"/>
      <c r="I44" s="95"/>
      <c r="J44" s="94">
        <f>+SUM(J40:J43)</f>
        <v>168.70000000000002</v>
      </c>
      <c r="K44" s="69"/>
      <c r="L44" s="68">
        <f>+SUM(L40:L43)</f>
        <v>1433950</v>
      </c>
    </row>
    <row r="46" spans="1:14" x14ac:dyDescent="0.35">
      <c r="A46" s="165" t="s">
        <v>540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</row>
    <row r="47" spans="1:14" ht="23" x14ac:dyDescent="0.35">
      <c r="A47" s="48" t="s">
        <v>18</v>
      </c>
      <c r="B47" s="48" t="s">
        <v>48</v>
      </c>
      <c r="C47" s="48" t="s">
        <v>332</v>
      </c>
      <c r="D47" s="48" t="s">
        <v>541</v>
      </c>
      <c r="E47" s="48" t="s">
        <v>542</v>
      </c>
      <c r="F47" s="48" t="s">
        <v>543</v>
      </c>
      <c r="G47" s="48" t="s">
        <v>544</v>
      </c>
      <c r="H47" s="48" t="s">
        <v>545</v>
      </c>
      <c r="I47" s="48"/>
      <c r="J47" s="48" t="s">
        <v>515</v>
      </c>
      <c r="K47" s="48"/>
      <c r="L47" s="48" t="s">
        <v>336</v>
      </c>
    </row>
    <row r="48" spans="1:14" ht="23" x14ac:dyDescent="0.35">
      <c r="A48" s="49">
        <v>1</v>
      </c>
      <c r="B48" s="50" t="s">
        <v>546</v>
      </c>
      <c r="C48" s="52">
        <v>4</v>
      </c>
      <c r="D48" s="52" t="s">
        <v>547</v>
      </c>
      <c r="E48" s="71">
        <v>15.875</v>
      </c>
      <c r="F48" s="101">
        <v>0.1225</v>
      </c>
      <c r="G48" s="91">
        <f>F48*E48/1000*7860</f>
        <v>15.285243749999998</v>
      </c>
      <c r="H48" s="91">
        <f t="shared" ref="H48:H58" si="4">G48*C48</f>
        <v>61.14097499999999</v>
      </c>
      <c r="I48" s="75"/>
      <c r="J48" s="92">
        <f>[1]PARAMETROS!$D$9</f>
        <v>6800</v>
      </c>
      <c r="K48" s="75"/>
      <c r="L48" s="55">
        <f t="shared" ref="L48:L58" si="5">H48*J48</f>
        <v>415758.62999999995</v>
      </c>
    </row>
    <row r="49" spans="1:12" ht="23" x14ac:dyDescent="0.35">
      <c r="A49" s="58">
        <v>2</v>
      </c>
      <c r="B49" s="59" t="s">
        <v>548</v>
      </c>
      <c r="C49" s="61">
        <v>2</v>
      </c>
      <c r="D49" s="61" t="s">
        <v>549</v>
      </c>
      <c r="E49" s="71">
        <v>15.875</v>
      </c>
      <c r="F49" s="102">
        <v>0.13689999999999999</v>
      </c>
      <c r="G49" s="91">
        <f t="shared" ref="G49:G58" si="6">F49*E49/1000*7860</f>
        <v>17.082039749999996</v>
      </c>
      <c r="H49" s="84">
        <f t="shared" si="4"/>
        <v>34.164079499999993</v>
      </c>
      <c r="I49" s="72"/>
      <c r="J49" s="92">
        <f>[1]PARAMETROS!$D$9</f>
        <v>6800</v>
      </c>
      <c r="K49" s="72"/>
      <c r="L49" s="63">
        <f t="shared" si="5"/>
        <v>232315.74059999996</v>
      </c>
    </row>
    <row r="50" spans="1:12" ht="23" x14ac:dyDescent="0.35">
      <c r="A50" s="49">
        <v>3</v>
      </c>
      <c r="B50" s="50" t="s">
        <v>550</v>
      </c>
      <c r="C50" s="52">
        <v>2</v>
      </c>
      <c r="D50" s="52" t="s">
        <v>551</v>
      </c>
      <c r="E50" s="71">
        <v>12.7</v>
      </c>
      <c r="F50" s="101">
        <v>0.09</v>
      </c>
      <c r="G50" s="91">
        <f t="shared" si="6"/>
        <v>8.9839799999999972</v>
      </c>
      <c r="H50" s="91">
        <f t="shared" si="4"/>
        <v>17.967959999999994</v>
      </c>
      <c r="I50" s="75"/>
      <c r="J50" s="92">
        <f>[1]PARAMETROS!$D$9</f>
        <v>6800</v>
      </c>
      <c r="K50" s="75"/>
      <c r="L50" s="55">
        <f t="shared" si="5"/>
        <v>122182.12799999997</v>
      </c>
    </row>
    <row r="51" spans="1:12" ht="23" x14ac:dyDescent="0.35">
      <c r="A51" s="58">
        <v>4</v>
      </c>
      <c r="B51" s="59" t="s">
        <v>552</v>
      </c>
      <c r="C51" s="61">
        <v>2</v>
      </c>
      <c r="D51" s="61" t="s">
        <v>553</v>
      </c>
      <c r="E51" s="71">
        <v>9.5250000000000004</v>
      </c>
      <c r="F51" s="102">
        <v>6.25E-2</v>
      </c>
      <c r="G51" s="91">
        <f t="shared" si="6"/>
        <v>4.6791562500000001</v>
      </c>
      <c r="H51" s="84">
        <f t="shared" si="4"/>
        <v>9.3583125000000003</v>
      </c>
      <c r="I51" s="72"/>
      <c r="J51" s="92">
        <f>[1]PARAMETROS!$D$9</f>
        <v>6800</v>
      </c>
      <c r="K51" s="72"/>
      <c r="L51" s="63">
        <f t="shared" si="5"/>
        <v>63636.525000000001</v>
      </c>
    </row>
    <row r="52" spans="1:12" ht="23" x14ac:dyDescent="0.35">
      <c r="A52" s="49">
        <v>5</v>
      </c>
      <c r="B52" s="50" t="s">
        <v>554</v>
      </c>
      <c r="C52" s="52">
        <v>16</v>
      </c>
      <c r="D52" s="52" t="s">
        <v>555</v>
      </c>
      <c r="E52" s="71">
        <v>6.35</v>
      </c>
      <c r="F52" s="101">
        <v>2.2499999999999999E-2</v>
      </c>
      <c r="G52" s="91">
        <f t="shared" si="6"/>
        <v>1.1229974999999996</v>
      </c>
      <c r="H52" s="91">
        <f t="shared" si="4"/>
        <v>17.967959999999994</v>
      </c>
      <c r="I52" s="75"/>
      <c r="J52" s="92">
        <f>[1]PARAMETROS!$D$9</f>
        <v>6800</v>
      </c>
      <c r="K52" s="75"/>
      <c r="L52" s="55">
        <f t="shared" si="5"/>
        <v>122182.12799999997</v>
      </c>
    </row>
    <row r="53" spans="1:12" ht="23" x14ac:dyDescent="0.35">
      <c r="A53" s="58">
        <v>6</v>
      </c>
      <c r="B53" s="59" t="s">
        <v>556</v>
      </c>
      <c r="C53" s="61">
        <v>8</v>
      </c>
      <c r="D53" s="61" t="s">
        <v>557</v>
      </c>
      <c r="E53" s="71">
        <v>6.35</v>
      </c>
      <c r="F53" s="102">
        <v>2.5600000000000001E-2</v>
      </c>
      <c r="G53" s="91">
        <f t="shared" si="6"/>
        <v>1.2777216</v>
      </c>
      <c r="H53" s="84">
        <f t="shared" si="4"/>
        <v>10.2217728</v>
      </c>
      <c r="I53" s="72"/>
      <c r="J53" s="92">
        <f>[1]PARAMETROS!$D$9</f>
        <v>6800</v>
      </c>
      <c r="K53" s="72"/>
      <c r="L53" s="63">
        <f t="shared" si="5"/>
        <v>69508.055040000007</v>
      </c>
    </row>
    <row r="54" spans="1:12" ht="23" x14ac:dyDescent="0.35">
      <c r="A54" s="49">
        <v>7</v>
      </c>
      <c r="B54" s="50" t="s">
        <v>558</v>
      </c>
      <c r="C54" s="52">
        <v>24</v>
      </c>
      <c r="D54" s="52" t="s">
        <v>559</v>
      </c>
      <c r="E54" s="71">
        <v>10</v>
      </c>
      <c r="F54" s="101">
        <v>3.7499999999999999E-2</v>
      </c>
      <c r="G54" s="91">
        <f t="shared" si="6"/>
        <v>2.9475000000000002</v>
      </c>
      <c r="H54" s="91">
        <f t="shared" si="4"/>
        <v>70.740000000000009</v>
      </c>
      <c r="I54" s="75"/>
      <c r="J54" s="92">
        <f>[1]PARAMETROS!$D$9</f>
        <v>6800</v>
      </c>
      <c r="K54" s="75"/>
      <c r="L54" s="55">
        <f t="shared" si="5"/>
        <v>481032.00000000006</v>
      </c>
    </row>
    <row r="55" spans="1:12" ht="23" x14ac:dyDescent="0.35">
      <c r="A55" s="58">
        <v>8</v>
      </c>
      <c r="B55" s="59" t="s">
        <v>560</v>
      </c>
      <c r="C55" s="61">
        <v>24</v>
      </c>
      <c r="D55" s="61" t="s">
        <v>561</v>
      </c>
      <c r="E55" s="71">
        <v>10</v>
      </c>
      <c r="F55" s="102">
        <v>4.4999999999999998E-2</v>
      </c>
      <c r="G55" s="91">
        <f t="shared" si="6"/>
        <v>3.5369999999999995</v>
      </c>
      <c r="H55" s="84">
        <f t="shared" si="4"/>
        <v>84.887999999999991</v>
      </c>
      <c r="I55" s="72"/>
      <c r="J55" s="92">
        <f>[1]PARAMETROS!$D$9</f>
        <v>6800</v>
      </c>
      <c r="K55" s="72"/>
      <c r="L55" s="63">
        <f t="shared" si="5"/>
        <v>577238.39999999991</v>
      </c>
    </row>
    <row r="56" spans="1:12" ht="23" x14ac:dyDescent="0.35">
      <c r="A56" s="49">
        <v>9</v>
      </c>
      <c r="B56" s="50" t="s">
        <v>562</v>
      </c>
      <c r="C56" s="52">
        <v>48</v>
      </c>
      <c r="D56" s="52" t="s">
        <v>563</v>
      </c>
      <c r="E56" s="71">
        <v>8</v>
      </c>
      <c r="F56" s="101">
        <v>0.02</v>
      </c>
      <c r="G56" s="91">
        <f t="shared" si="6"/>
        <v>1.2576000000000001</v>
      </c>
      <c r="H56" s="91">
        <f t="shared" si="4"/>
        <v>60.364800000000002</v>
      </c>
      <c r="I56" s="75"/>
      <c r="J56" s="92">
        <f>[1]PARAMETROS!$D$9</f>
        <v>6800</v>
      </c>
      <c r="K56" s="75"/>
      <c r="L56" s="55">
        <f t="shared" si="5"/>
        <v>410480.64000000001</v>
      </c>
    </row>
    <row r="57" spans="1:12" ht="23" x14ac:dyDescent="0.35">
      <c r="A57" s="58">
        <v>10</v>
      </c>
      <c r="B57" s="59" t="s">
        <v>564</v>
      </c>
      <c r="C57" s="61">
        <v>21</v>
      </c>
      <c r="D57" s="61" t="s">
        <v>565</v>
      </c>
      <c r="E57" s="71">
        <v>6.35</v>
      </c>
      <c r="F57" s="102">
        <v>0.154</v>
      </c>
      <c r="G57" s="91">
        <f t="shared" si="6"/>
        <v>7.6862939999999993</v>
      </c>
      <c r="H57" s="84">
        <f t="shared" si="4"/>
        <v>161.41217399999999</v>
      </c>
      <c r="I57" s="72"/>
      <c r="J57" s="92">
        <f>[1]PARAMETROS!$D$9</f>
        <v>6800</v>
      </c>
      <c r="K57" s="72"/>
      <c r="L57" s="63">
        <f t="shared" si="5"/>
        <v>1097602.7831999999</v>
      </c>
    </row>
    <row r="58" spans="1:12" ht="23" x14ac:dyDescent="0.35">
      <c r="A58" s="49">
        <v>11</v>
      </c>
      <c r="B58" s="50" t="s">
        <v>566</v>
      </c>
      <c r="C58" s="52">
        <v>2</v>
      </c>
      <c r="D58" s="52" t="s">
        <v>567</v>
      </c>
      <c r="E58" s="71">
        <v>3.1749999999999998</v>
      </c>
      <c r="F58" s="101">
        <v>0.49</v>
      </c>
      <c r="G58" s="91">
        <f t="shared" si="6"/>
        <v>12.228195000000001</v>
      </c>
      <c r="H58" s="91">
        <f t="shared" si="4"/>
        <v>24.456390000000003</v>
      </c>
      <c r="I58" s="75"/>
      <c r="J58" s="92">
        <f>[1]PARAMETROS!$D$9</f>
        <v>6800</v>
      </c>
      <c r="K58" s="75"/>
      <c r="L58" s="55">
        <f t="shared" si="5"/>
        <v>166303.45200000002</v>
      </c>
    </row>
    <row r="59" spans="1:12" x14ac:dyDescent="0.35">
      <c r="A59" s="162" t="s">
        <v>568</v>
      </c>
      <c r="B59" s="162"/>
      <c r="C59" s="162"/>
      <c r="D59" s="162"/>
      <c r="E59" s="162"/>
      <c r="F59" s="162"/>
      <c r="G59" s="162"/>
      <c r="H59" s="94">
        <f>SUM(H48,H49,H50,H51,H52,H53,H54,H55,H56,H57,H58)</f>
        <v>552.68242380000004</v>
      </c>
      <c r="I59" s="69"/>
      <c r="J59" s="69"/>
      <c r="K59" s="69"/>
      <c r="L59" s="68">
        <f>SUM(L48,L49,L50,L51,L52,L53,L54,L55,L56,L57,L58)</f>
        <v>3758240.4818399996</v>
      </c>
    </row>
    <row r="61" spans="1:12" ht="15" thickBot="1" x14ac:dyDescent="0.4">
      <c r="A61" s="166" t="s">
        <v>569</v>
      </c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78">
        <f>L9+L15+L25+L30+L36+L44+L59</f>
        <v>32566206.378129996</v>
      </c>
    </row>
    <row r="62" spans="1:12" ht="15" thickBot="1" x14ac:dyDescent="0.4"/>
    <row r="63" spans="1:12" ht="15" thickBot="1" x14ac:dyDescent="0.4">
      <c r="A63" s="166" t="s">
        <v>570</v>
      </c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78">
        <f>+J9+J15+J25+J30+J36+J44+H59</f>
        <v>4196.7055269399998</v>
      </c>
    </row>
    <row r="64" spans="1:12" ht="15" thickBot="1" x14ac:dyDescent="0.4"/>
    <row r="65" spans="1:12" ht="15" thickBot="1" x14ac:dyDescent="0.4">
      <c r="A65" s="166" t="s">
        <v>571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78">
        <f>+L63*4000</f>
        <v>16786822.107760001</v>
      </c>
    </row>
  </sheetData>
  <mergeCells count="19">
    <mergeCell ref="A36:E36"/>
    <mergeCell ref="A1:L1"/>
    <mergeCell ref="A2:L2"/>
    <mergeCell ref="A3:L3"/>
    <mergeCell ref="A9:E9"/>
    <mergeCell ref="A11:L11"/>
    <mergeCell ref="A15:E15"/>
    <mergeCell ref="A17:L17"/>
    <mergeCell ref="A25:E25"/>
    <mergeCell ref="A27:L27"/>
    <mergeCell ref="A30:E30"/>
    <mergeCell ref="A32:L32"/>
    <mergeCell ref="A65:K65"/>
    <mergeCell ref="A38:L38"/>
    <mergeCell ref="A44:E44"/>
    <mergeCell ref="A46:L46"/>
    <mergeCell ref="A59:G59"/>
    <mergeCell ref="A61:K61"/>
    <mergeCell ref="A63:K6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CD18-AD4B-4FC9-B7A5-5205E18D89EF}">
  <dimension ref="A1:J26"/>
  <sheetViews>
    <sheetView workbookViewId="0">
      <selection sqref="A1:L1"/>
    </sheetView>
  </sheetViews>
  <sheetFormatPr baseColWidth="10" defaultColWidth="8.7265625" defaultRowHeight="14.5" x14ac:dyDescent="0.35"/>
  <cols>
    <col min="1" max="1" width="4" customWidth="1"/>
    <col min="2" max="2" width="36" customWidth="1"/>
    <col min="3" max="3" width="12" customWidth="1"/>
    <col min="4" max="5" width="10" customWidth="1"/>
    <col min="6" max="6" width="12" customWidth="1"/>
    <col min="7" max="7" width="14" customWidth="1"/>
    <col min="8" max="10" width="12" customWidth="1"/>
  </cols>
  <sheetData>
    <row r="1" spans="1:10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x14ac:dyDescent="0.35">
      <c r="A2" s="164" t="s">
        <v>572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 x14ac:dyDescent="0.35">
      <c r="A3" s="165" t="s">
        <v>573</v>
      </c>
      <c r="B3" s="165"/>
      <c r="C3" s="165"/>
      <c r="D3" s="165"/>
      <c r="E3" s="165"/>
      <c r="F3" s="165"/>
      <c r="G3" s="165"/>
      <c r="H3" s="165"/>
      <c r="I3" s="165"/>
      <c r="J3" s="165"/>
    </row>
    <row r="4" spans="1:10" ht="34.5" x14ac:dyDescent="0.35">
      <c r="A4" s="48" t="s">
        <v>18</v>
      </c>
      <c r="B4" s="48" t="s">
        <v>574</v>
      </c>
      <c r="C4" s="48" t="s">
        <v>438</v>
      </c>
      <c r="D4" s="48" t="s">
        <v>575</v>
      </c>
      <c r="E4" s="48" t="s">
        <v>576</v>
      </c>
      <c r="F4" s="48" t="s">
        <v>577</v>
      </c>
      <c r="G4" s="48" t="s">
        <v>336</v>
      </c>
      <c r="H4" s="48" t="s">
        <v>337</v>
      </c>
      <c r="I4" s="48"/>
      <c r="J4" s="48"/>
    </row>
    <row r="5" spans="1:10" ht="23" x14ac:dyDescent="0.35">
      <c r="A5" s="49">
        <v>1</v>
      </c>
      <c r="B5" s="50" t="s">
        <v>578</v>
      </c>
      <c r="C5" s="52" t="s">
        <v>579</v>
      </c>
      <c r="D5" s="52">
        <v>330</v>
      </c>
      <c r="E5" s="52">
        <v>16</v>
      </c>
      <c r="F5" s="92">
        <v>5000</v>
      </c>
      <c r="G5" s="55">
        <f t="shared" ref="G5:G15" si="0">E5*F5</f>
        <v>80000</v>
      </c>
      <c r="H5" s="56" t="s">
        <v>580</v>
      </c>
      <c r="I5" s="75"/>
      <c r="J5" s="75"/>
    </row>
    <row r="6" spans="1:10" ht="23" x14ac:dyDescent="0.35">
      <c r="A6" s="58">
        <v>2</v>
      </c>
      <c r="B6" s="59" t="s">
        <v>581</v>
      </c>
      <c r="C6" s="61" t="s">
        <v>579</v>
      </c>
      <c r="D6" s="61">
        <v>330</v>
      </c>
      <c r="E6" s="61">
        <v>8</v>
      </c>
      <c r="F6" s="92">
        <v>5000</v>
      </c>
      <c r="G6" s="63">
        <f t="shared" si="0"/>
        <v>40000</v>
      </c>
      <c r="H6" s="64" t="s">
        <v>580</v>
      </c>
      <c r="I6" s="72"/>
      <c r="J6" s="72"/>
    </row>
    <row r="7" spans="1:10" ht="23" x14ac:dyDescent="0.35">
      <c r="A7" s="49">
        <v>3</v>
      </c>
      <c r="B7" s="50" t="s">
        <v>582</v>
      </c>
      <c r="C7" s="52" t="s">
        <v>579</v>
      </c>
      <c r="D7" s="52">
        <v>330</v>
      </c>
      <c r="E7" s="52">
        <v>8</v>
      </c>
      <c r="F7" s="92">
        <v>5000</v>
      </c>
      <c r="G7" s="55">
        <f t="shared" si="0"/>
        <v>40000</v>
      </c>
      <c r="H7" s="56" t="s">
        <v>580</v>
      </c>
      <c r="I7" s="75"/>
      <c r="J7" s="75"/>
    </row>
    <row r="8" spans="1:10" ht="23" x14ac:dyDescent="0.35">
      <c r="A8" s="58">
        <v>4</v>
      </c>
      <c r="B8" s="59" t="s">
        <v>583</v>
      </c>
      <c r="C8" s="61" t="s">
        <v>579</v>
      </c>
      <c r="D8" s="61">
        <v>330</v>
      </c>
      <c r="E8" s="61">
        <v>8</v>
      </c>
      <c r="F8" s="92">
        <v>5000</v>
      </c>
      <c r="G8" s="63">
        <f t="shared" si="0"/>
        <v>40000</v>
      </c>
      <c r="H8" s="64" t="s">
        <v>580</v>
      </c>
      <c r="I8" s="72"/>
      <c r="J8" s="72"/>
    </row>
    <row r="9" spans="1:10" x14ac:dyDescent="0.35">
      <c r="A9" s="49">
        <v>5</v>
      </c>
      <c r="B9" s="50" t="s">
        <v>584</v>
      </c>
      <c r="C9" s="52" t="s">
        <v>585</v>
      </c>
      <c r="D9" s="52">
        <v>300</v>
      </c>
      <c r="E9" s="52">
        <v>48</v>
      </c>
      <c r="F9" s="92">
        <v>5000</v>
      </c>
      <c r="G9" s="55">
        <f t="shared" si="0"/>
        <v>240000</v>
      </c>
      <c r="H9" s="56" t="s">
        <v>580</v>
      </c>
      <c r="I9" s="75"/>
      <c r="J9" s="75"/>
    </row>
    <row r="10" spans="1:10" x14ac:dyDescent="0.35">
      <c r="A10" s="58">
        <v>6</v>
      </c>
      <c r="B10" s="59" t="s">
        <v>586</v>
      </c>
      <c r="C10" s="61" t="s">
        <v>585</v>
      </c>
      <c r="D10" s="61">
        <v>300</v>
      </c>
      <c r="E10" s="61">
        <v>48</v>
      </c>
      <c r="F10" s="92">
        <v>5000</v>
      </c>
      <c r="G10" s="63">
        <f t="shared" si="0"/>
        <v>240000</v>
      </c>
      <c r="H10" s="64" t="s">
        <v>580</v>
      </c>
      <c r="I10" s="72"/>
      <c r="J10" s="72"/>
    </row>
    <row r="11" spans="1:10" x14ac:dyDescent="0.35">
      <c r="A11" s="49">
        <v>7</v>
      </c>
      <c r="B11" s="50" t="s">
        <v>587</v>
      </c>
      <c r="C11" s="52" t="s">
        <v>585</v>
      </c>
      <c r="D11" s="52">
        <v>280</v>
      </c>
      <c r="E11" s="52">
        <v>32</v>
      </c>
      <c r="F11" s="92">
        <v>4000</v>
      </c>
      <c r="G11" s="55">
        <f t="shared" si="0"/>
        <v>128000</v>
      </c>
      <c r="H11" s="56" t="s">
        <v>580</v>
      </c>
      <c r="I11" s="75"/>
      <c r="J11" s="75"/>
    </row>
    <row r="12" spans="1:10" x14ac:dyDescent="0.35">
      <c r="A12" s="58">
        <v>8</v>
      </c>
      <c r="B12" s="59" t="s">
        <v>588</v>
      </c>
      <c r="C12" s="61" t="s">
        <v>579</v>
      </c>
      <c r="D12" s="61">
        <v>200</v>
      </c>
      <c r="E12" s="61">
        <v>28</v>
      </c>
      <c r="F12" s="85">
        <v>4000</v>
      </c>
      <c r="G12" s="63">
        <f t="shared" si="0"/>
        <v>112000</v>
      </c>
      <c r="H12" s="64" t="s">
        <v>580</v>
      </c>
      <c r="I12" s="72"/>
      <c r="J12" s="72"/>
    </row>
    <row r="13" spans="1:10" x14ac:dyDescent="0.35">
      <c r="A13" s="49">
        <v>9</v>
      </c>
      <c r="B13" s="50" t="s">
        <v>589</v>
      </c>
      <c r="C13" s="52" t="s">
        <v>590</v>
      </c>
      <c r="D13" s="52">
        <v>190</v>
      </c>
      <c r="E13" s="52">
        <v>44</v>
      </c>
      <c r="F13" s="92">
        <v>3000</v>
      </c>
      <c r="G13" s="55">
        <f t="shared" si="0"/>
        <v>132000</v>
      </c>
      <c r="H13" s="56" t="s">
        <v>580</v>
      </c>
      <c r="I13" s="75"/>
      <c r="J13" s="75"/>
    </row>
    <row r="14" spans="1:10" ht="23" x14ac:dyDescent="0.35">
      <c r="A14" s="58">
        <v>10</v>
      </c>
      <c r="B14" s="59" t="s">
        <v>591</v>
      </c>
      <c r="C14" s="61" t="s">
        <v>579</v>
      </c>
      <c r="D14" s="61">
        <v>60</v>
      </c>
      <c r="E14" s="61">
        <v>72</v>
      </c>
      <c r="F14" s="85">
        <v>2000</v>
      </c>
      <c r="G14" s="63">
        <f t="shared" si="0"/>
        <v>144000</v>
      </c>
      <c r="H14" s="64" t="s">
        <v>580</v>
      </c>
      <c r="I14" s="72"/>
      <c r="J14" s="72"/>
    </row>
    <row r="15" spans="1:10" ht="23" x14ac:dyDescent="0.35">
      <c r="A15" s="49">
        <v>11</v>
      </c>
      <c r="B15" s="50" t="s">
        <v>592</v>
      </c>
      <c r="C15" s="52" t="s">
        <v>593</v>
      </c>
      <c r="D15" s="52">
        <v>38</v>
      </c>
      <c r="E15" s="52">
        <v>84</v>
      </c>
      <c r="F15" s="92">
        <v>1000</v>
      </c>
      <c r="G15" s="55">
        <f t="shared" si="0"/>
        <v>84000</v>
      </c>
      <c r="H15" s="56" t="s">
        <v>580</v>
      </c>
      <c r="I15" s="75"/>
      <c r="J15" s="75"/>
    </row>
    <row r="16" spans="1:10" x14ac:dyDescent="0.35">
      <c r="A16" s="162" t="s">
        <v>594</v>
      </c>
      <c r="B16" s="162"/>
      <c r="C16" s="162"/>
      <c r="D16" s="162"/>
      <c r="E16" s="162"/>
      <c r="F16" s="162"/>
      <c r="G16" s="68">
        <f>SUM(G5,G6,G7,G8,G9,G10,G11,G12,G13,G14,G15)</f>
        <v>1280000</v>
      </c>
      <c r="H16" s="69"/>
      <c r="I16" s="69"/>
      <c r="J16" s="69"/>
    </row>
    <row r="18" spans="1:10" ht="15" thickBot="1" x14ac:dyDescent="0.4">
      <c r="A18" s="166" t="s">
        <v>595</v>
      </c>
      <c r="B18" s="166"/>
      <c r="C18" s="166"/>
      <c r="D18" s="166"/>
      <c r="E18" s="166"/>
      <c r="F18" s="166"/>
      <c r="G18" s="78">
        <f>G16</f>
        <v>1280000</v>
      </c>
      <c r="H18" s="79"/>
      <c r="I18" s="79"/>
      <c r="J18" s="79"/>
    </row>
    <row r="20" spans="1:10" x14ac:dyDescent="0.35">
      <c r="C20" t="s">
        <v>654</v>
      </c>
      <c r="D20" t="s">
        <v>655</v>
      </c>
      <c r="E20" t="s">
        <v>656</v>
      </c>
      <c r="F20" t="s">
        <v>657</v>
      </c>
      <c r="G20" t="s">
        <v>661</v>
      </c>
    </row>
    <row r="21" spans="1:10" x14ac:dyDescent="0.35">
      <c r="A21">
        <v>1</v>
      </c>
      <c r="B21" t="s">
        <v>653</v>
      </c>
      <c r="C21">
        <v>8</v>
      </c>
      <c r="D21">
        <v>0.33</v>
      </c>
      <c r="E21">
        <v>4</v>
      </c>
      <c r="F21">
        <f t="shared" ref="F21:F26" si="1">+E21*D21*C21</f>
        <v>10.56</v>
      </c>
      <c r="G21">
        <f>+E21*C21*3</f>
        <v>96</v>
      </c>
    </row>
    <row r="22" spans="1:10" x14ac:dyDescent="0.35">
      <c r="A22">
        <v>2</v>
      </c>
      <c r="B22" t="s">
        <v>653</v>
      </c>
      <c r="C22">
        <v>8</v>
      </c>
      <c r="D22">
        <v>0.33</v>
      </c>
      <c r="E22">
        <v>2</v>
      </c>
      <c r="F22">
        <f t="shared" si="1"/>
        <v>5.28</v>
      </c>
      <c r="G22">
        <f>+E22*C22*3</f>
        <v>48</v>
      </c>
    </row>
    <row r="23" spans="1:10" x14ac:dyDescent="0.35">
      <c r="A23">
        <v>3</v>
      </c>
      <c r="B23" t="s">
        <v>658</v>
      </c>
      <c r="C23">
        <v>4</v>
      </c>
      <c r="D23">
        <v>0.3</v>
      </c>
      <c r="E23">
        <v>1</v>
      </c>
      <c r="F23">
        <f t="shared" si="1"/>
        <v>1.2</v>
      </c>
      <c r="G23">
        <f>+E23*C23*3</f>
        <v>12</v>
      </c>
    </row>
    <row r="24" spans="1:10" x14ac:dyDescent="0.35">
      <c r="A24">
        <v>4</v>
      </c>
      <c r="B24" t="s">
        <v>658</v>
      </c>
      <c r="C24">
        <v>4</v>
      </c>
      <c r="D24">
        <v>0.3</v>
      </c>
      <c r="E24">
        <v>1</v>
      </c>
      <c r="F24">
        <f t="shared" si="1"/>
        <v>1.2</v>
      </c>
      <c r="G24">
        <f>+E24*C24*3</f>
        <v>12</v>
      </c>
    </row>
    <row r="25" spans="1:10" x14ac:dyDescent="0.35">
      <c r="A25">
        <v>5</v>
      </c>
      <c r="B25" t="s">
        <v>665</v>
      </c>
      <c r="C25">
        <v>16</v>
      </c>
      <c r="D25">
        <v>0.25</v>
      </c>
      <c r="E25">
        <v>6</v>
      </c>
      <c r="F25">
        <f t="shared" si="1"/>
        <v>24</v>
      </c>
      <c r="G25">
        <f>+E25*C25*2</f>
        <v>192</v>
      </c>
    </row>
    <row r="26" spans="1:10" x14ac:dyDescent="0.35">
      <c r="A26">
        <v>4</v>
      </c>
      <c r="B26" t="s">
        <v>658</v>
      </c>
      <c r="C26">
        <v>4</v>
      </c>
      <c r="D26">
        <v>0.3</v>
      </c>
      <c r="E26">
        <v>1</v>
      </c>
      <c r="F26">
        <f t="shared" si="1"/>
        <v>1.2</v>
      </c>
      <c r="G26">
        <f>+E26*C26*3</f>
        <v>12</v>
      </c>
    </row>
  </sheetData>
  <mergeCells count="5">
    <mergeCell ref="A1:J1"/>
    <mergeCell ref="A2:J2"/>
    <mergeCell ref="A3:J3"/>
    <mergeCell ref="A16:F16"/>
    <mergeCell ref="A18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5095-35F0-4628-93B6-70C43666F3FB}">
  <dimension ref="A1:L21"/>
  <sheetViews>
    <sheetView workbookViewId="0">
      <selection sqref="A1:L1"/>
    </sheetView>
  </sheetViews>
  <sheetFormatPr baseColWidth="10" defaultColWidth="8.7265625" defaultRowHeight="14.5" x14ac:dyDescent="0.35"/>
  <cols>
    <col min="1" max="1" width="4" customWidth="1"/>
    <col min="2" max="2" width="34" customWidth="1"/>
    <col min="3" max="6" width="10" customWidth="1"/>
    <col min="7" max="11" width="12" customWidth="1"/>
    <col min="12" max="12" width="14.453125" customWidth="1"/>
  </cols>
  <sheetData>
    <row r="1" spans="1:12" ht="16.5" x14ac:dyDescent="0.35">
      <c r="A1" s="163" t="s">
        <v>325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x14ac:dyDescent="0.35">
      <c r="A2" s="164" t="s">
        <v>596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x14ac:dyDescent="0.35">
      <c r="A3" s="165" t="s">
        <v>597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2" ht="23" x14ac:dyDescent="0.35">
      <c r="A4" s="48" t="s">
        <v>18</v>
      </c>
      <c r="B4" s="48" t="s">
        <v>598</v>
      </c>
      <c r="C4" s="48" t="s">
        <v>332</v>
      </c>
      <c r="D4" s="48" t="s">
        <v>508</v>
      </c>
      <c r="E4" s="48" t="s">
        <v>599</v>
      </c>
      <c r="F4" s="48" t="s">
        <v>510</v>
      </c>
      <c r="G4" s="48" t="s">
        <v>600</v>
      </c>
      <c r="H4" s="48" t="s">
        <v>334</v>
      </c>
      <c r="I4" s="48" t="s">
        <v>601</v>
      </c>
      <c r="J4" s="48" t="s">
        <v>602</v>
      </c>
      <c r="K4" s="48" t="s">
        <v>603</v>
      </c>
      <c r="L4" s="48" t="s">
        <v>336</v>
      </c>
    </row>
    <row r="5" spans="1:12" ht="23" x14ac:dyDescent="0.35">
      <c r="A5" s="49">
        <v>1</v>
      </c>
      <c r="B5" s="50" t="s">
        <v>604</v>
      </c>
      <c r="C5" s="52">
        <v>12</v>
      </c>
      <c r="D5" s="51">
        <v>5.32</v>
      </c>
      <c r="E5" s="71">
        <v>0.16</v>
      </c>
      <c r="F5" s="74">
        <f>C5*D5</f>
        <v>63.84</v>
      </c>
      <c r="G5" s="53">
        <f>PI()/4*E5^2*D5</f>
        <v>0.10696494666942528</v>
      </c>
      <c r="H5" s="53">
        <f>PI()/4*E5^2*F5</f>
        <v>1.2835793600331034</v>
      </c>
      <c r="I5" s="91">
        <f>H5*850</f>
        <v>1091.0424560281378</v>
      </c>
      <c r="J5" s="71">
        <v>1.1000000000000001</v>
      </c>
      <c r="K5" s="53">
        <f>H5*J5</f>
        <v>1.4119372960364138</v>
      </c>
      <c r="L5" s="92">
        <f>K5*[1]PARAMETROS!D11</f>
        <v>7056.8626055899967</v>
      </c>
    </row>
    <row r="6" spans="1:12" ht="23" x14ac:dyDescent="0.35">
      <c r="A6" s="58">
        <v>2</v>
      </c>
      <c r="B6" s="59" t="s">
        <v>605</v>
      </c>
      <c r="C6" s="61">
        <v>10</v>
      </c>
      <c r="D6" s="60">
        <v>6.87</v>
      </c>
      <c r="E6" s="71">
        <v>0.16</v>
      </c>
      <c r="F6" s="76">
        <f>C6*D6</f>
        <v>68.7</v>
      </c>
      <c r="G6" s="62">
        <f>PI()/4*E6^2*D6</f>
        <v>0.13812954579303602</v>
      </c>
      <c r="H6" s="62">
        <f>PI()/4*E6^2*F6</f>
        <v>1.3812954579303602</v>
      </c>
      <c r="I6" s="84">
        <f>H6*850</f>
        <v>1174.1011392408061</v>
      </c>
      <c r="J6" s="71">
        <v>1.1000000000000001</v>
      </c>
      <c r="K6" s="62">
        <f>H6*J6</f>
        <v>1.5194250037233963</v>
      </c>
      <c r="L6" s="85">
        <f>K6*[1]PARAMETROS!D11</f>
        <v>7594.086168609535</v>
      </c>
    </row>
    <row r="7" spans="1:12" x14ac:dyDescent="0.35">
      <c r="A7" s="49">
        <v>3</v>
      </c>
      <c r="B7" s="50" t="s">
        <v>606</v>
      </c>
      <c r="C7" s="52">
        <v>4</v>
      </c>
      <c r="D7" s="51">
        <v>5.7</v>
      </c>
      <c r="E7" s="71">
        <v>0.16</v>
      </c>
      <c r="F7" s="74">
        <f>C7*D7</f>
        <v>22.8</v>
      </c>
      <c r="G7" s="53">
        <f>PI()/4*E7^2*D7</f>
        <v>0.11460530000295566</v>
      </c>
      <c r="H7" s="53">
        <f>PI()/4*E7^2*F7</f>
        <v>0.45842120001182263</v>
      </c>
      <c r="I7" s="91">
        <f>H7*850</f>
        <v>389.65802001004926</v>
      </c>
      <c r="J7" s="71">
        <v>1.1000000000000001</v>
      </c>
      <c r="K7" s="53">
        <f>H7*J7</f>
        <v>0.50426332001300489</v>
      </c>
      <c r="L7" s="92">
        <f>K7*[1]PARAMETROS!D11</f>
        <v>2520.3080734249984</v>
      </c>
    </row>
    <row r="8" spans="1:12" x14ac:dyDescent="0.35">
      <c r="A8" s="162" t="s">
        <v>607</v>
      </c>
      <c r="B8" s="162"/>
      <c r="C8" s="162"/>
      <c r="D8" s="162"/>
      <c r="E8" s="162"/>
      <c r="F8" s="162"/>
      <c r="G8" s="162"/>
      <c r="H8" s="66">
        <f>SUM(H5,H6,H7)</f>
        <v>3.123296017975286</v>
      </c>
      <c r="I8" s="69"/>
      <c r="J8" s="69"/>
      <c r="K8" s="66">
        <f>SUM(K5,K6,K7)</f>
        <v>3.4356256197728148</v>
      </c>
      <c r="L8" s="68">
        <f>SUM(L5,L6,L7)</f>
        <v>17171.256847624532</v>
      </c>
    </row>
    <row r="10" spans="1:12" x14ac:dyDescent="0.35">
      <c r="A10" s="165" t="s">
        <v>608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</row>
    <row r="11" spans="1:12" ht="23" x14ac:dyDescent="0.35">
      <c r="A11" s="48" t="s">
        <v>18</v>
      </c>
      <c r="B11" s="48" t="s">
        <v>48</v>
      </c>
      <c r="C11" s="48" t="s">
        <v>609</v>
      </c>
      <c r="D11" s="48" t="s">
        <v>473</v>
      </c>
      <c r="E11" s="48" t="s">
        <v>356</v>
      </c>
      <c r="F11" s="48" t="s">
        <v>610</v>
      </c>
      <c r="G11" s="48" t="s">
        <v>600</v>
      </c>
      <c r="H11" s="48" t="s">
        <v>334</v>
      </c>
      <c r="I11" s="48"/>
      <c r="J11" s="48" t="s">
        <v>602</v>
      </c>
      <c r="K11" s="48" t="s">
        <v>603</v>
      </c>
      <c r="L11" s="48" t="s">
        <v>336</v>
      </c>
    </row>
    <row r="12" spans="1:12" x14ac:dyDescent="0.35">
      <c r="A12" s="49">
        <v>1</v>
      </c>
      <c r="B12" s="50" t="s">
        <v>611</v>
      </c>
      <c r="C12" s="52">
        <v>21</v>
      </c>
      <c r="D12" s="51">
        <v>1</v>
      </c>
      <c r="E12" s="51">
        <v>0.28000000000000003</v>
      </c>
      <c r="F12" s="73">
        <v>0.04</v>
      </c>
      <c r="G12" s="53">
        <f>D12*E12*F12</f>
        <v>1.1200000000000002E-2</v>
      </c>
      <c r="H12" s="53">
        <f>G12*C12</f>
        <v>0.23520000000000002</v>
      </c>
      <c r="I12" s="75"/>
      <c r="J12" s="71">
        <v>1.1499999999999999</v>
      </c>
      <c r="K12" s="53">
        <f>H12*J12</f>
        <v>0.27048</v>
      </c>
      <c r="L12" s="103">
        <f>K12*[1]PARAMETROS!D11</f>
        <v>1351.85904</v>
      </c>
    </row>
    <row r="13" spans="1:12" ht="23" x14ac:dyDescent="0.35">
      <c r="A13" s="58">
        <v>2</v>
      </c>
      <c r="B13" s="59" t="s">
        <v>612</v>
      </c>
      <c r="C13" s="61">
        <v>9</v>
      </c>
      <c r="D13" s="60">
        <v>1</v>
      </c>
      <c r="E13" s="60">
        <v>0.28000000000000003</v>
      </c>
      <c r="F13" s="73">
        <v>0.04</v>
      </c>
      <c r="G13" s="62">
        <f>D13*E13*F13</f>
        <v>1.1200000000000002E-2</v>
      </c>
      <c r="H13" s="62">
        <f>G13*C13</f>
        <v>0.10080000000000001</v>
      </c>
      <c r="I13" s="72"/>
      <c r="J13" s="71">
        <v>1.1499999999999999</v>
      </c>
      <c r="K13" s="62">
        <f>H13*J13</f>
        <v>0.11592000000000001</v>
      </c>
      <c r="L13" s="103">
        <f>K13*[1]PARAMETROS!D11</f>
        <v>579.36815999999999</v>
      </c>
    </row>
    <row r="14" spans="1:12" x14ac:dyDescent="0.35">
      <c r="A14" s="49">
        <v>3</v>
      </c>
      <c r="B14" s="50" t="s">
        <v>613</v>
      </c>
      <c r="C14" s="52">
        <v>8</v>
      </c>
      <c r="D14" s="51">
        <v>1</v>
      </c>
      <c r="E14" s="51">
        <v>0.15</v>
      </c>
      <c r="F14" s="73">
        <v>2.5000000000000001E-2</v>
      </c>
      <c r="G14" s="53">
        <f>D14*E14*F14</f>
        <v>3.7499999999999999E-3</v>
      </c>
      <c r="H14" s="53">
        <f>G14*C14</f>
        <v>0.03</v>
      </c>
      <c r="I14" s="75"/>
      <c r="J14" s="71">
        <v>1.1499999999999999</v>
      </c>
      <c r="K14" s="53">
        <f>H14*J14</f>
        <v>3.4499999999999996E-2</v>
      </c>
      <c r="L14" s="103">
        <f>K14*[1]PARAMETROS!D11</f>
        <v>172.43099999999998</v>
      </c>
    </row>
    <row r="15" spans="1:12" x14ac:dyDescent="0.35">
      <c r="A15" s="104" t="s">
        <v>614</v>
      </c>
      <c r="B15" s="104"/>
      <c r="C15" s="104"/>
      <c r="D15" s="104"/>
      <c r="E15" s="104"/>
      <c r="F15" s="104"/>
      <c r="G15" s="104"/>
      <c r="H15" s="104"/>
      <c r="I15" s="104"/>
      <c r="J15" s="104"/>
      <c r="K15" s="66">
        <f>SUM(K12,K13,K14)</f>
        <v>0.4209</v>
      </c>
      <c r="L15" s="68">
        <f>SUM(L12,L13,L14)</f>
        <v>2103.6581999999999</v>
      </c>
    </row>
    <row r="17" spans="1:12" ht="15" thickBot="1" x14ac:dyDescent="0.4">
      <c r="A17" s="166" t="s">
        <v>615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05">
        <f>+K15+K8</f>
        <v>3.8565256197728148</v>
      </c>
    </row>
    <row r="18" spans="1:12" ht="15" thickBot="1" x14ac:dyDescent="0.4"/>
    <row r="19" spans="1:12" ht="15" thickBot="1" x14ac:dyDescent="0.4">
      <c r="A19" s="166" t="s">
        <v>616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05">
        <v>3000000</v>
      </c>
    </row>
    <row r="20" spans="1:12" ht="15" thickBot="1" x14ac:dyDescent="0.4"/>
    <row r="21" spans="1:12" ht="15" thickBot="1" x14ac:dyDescent="0.4">
      <c r="A21" s="166" t="s">
        <v>615</v>
      </c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05">
        <f>+L17*L19</f>
        <v>11569576.859318445</v>
      </c>
    </row>
  </sheetData>
  <mergeCells count="8">
    <mergeCell ref="A19:K19"/>
    <mergeCell ref="A21:K21"/>
    <mergeCell ref="A1:L1"/>
    <mergeCell ref="A2:L2"/>
    <mergeCell ref="A3:L3"/>
    <mergeCell ref="A8:G8"/>
    <mergeCell ref="A10:L10"/>
    <mergeCell ref="A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RESUMEN_EJECUTIVO</vt:lpstr>
      <vt:lpstr>PRESUPUESTO_GENERAL</vt:lpstr>
      <vt:lpstr>RESUMEN_COMPONENTES</vt:lpstr>
      <vt:lpstr>LISTA_MATERIALES_CAMCOM</vt:lpstr>
      <vt:lpstr>LISTA_MATERIALES_CAMCOM (2)</vt:lpstr>
      <vt:lpstr>LISTA_LOGISTICA_ALCALDIA</vt:lpstr>
      <vt:lpstr>APUs</vt:lpstr>
      <vt:lpstr>CANT PRELIM</vt:lpstr>
      <vt:lpstr>CANT CONCR</vt:lpstr>
      <vt:lpstr>CANT ACEROS</vt:lpstr>
      <vt:lpstr>CANT ESTR MET</vt:lpstr>
      <vt:lpstr>CANT PERNOS</vt:lpstr>
      <vt:lpstr>CANT MAD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Christian Camilo Barajas Torres</cp:lastModifiedBy>
  <dcterms:created xsi:type="dcterms:W3CDTF">2026-02-20T15:28:33Z</dcterms:created>
  <dcterms:modified xsi:type="dcterms:W3CDTF">2026-03-25T17:52:03Z</dcterms:modified>
</cp:coreProperties>
</file>